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00" tabRatio="927" firstSheet="1" activeTab="8"/>
  </bookViews>
  <sheets>
    <sheet name="Experimental Plan" sheetId="1" r:id="rId1"/>
    <sheet name="Experimental Results" sheetId="2" r:id="rId2"/>
    <sheet name="Calculating beta" sheetId="3" r:id="rId3"/>
    <sheet name="Calculating MSE and S|N" sheetId="4" r:id="rId4"/>
    <sheet name="Response Tables" sheetId="5" r:id="rId5"/>
    <sheet name="Response Plots" sheetId="6" r:id="rId6"/>
    <sheet name="Prediction" sheetId="7" r:id="rId7"/>
    <sheet name="confirmation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<sst xmlns="http://schemas.openxmlformats.org/spreadsheetml/2006/main" count="270" uniqueCount="92">
  <si>
    <t>PARAMETER DESIGN EXPERIMENT:  Helicopter Exercise</t>
  </si>
  <si>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</si>
  <si>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</si>
  <si>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</si>
  <si>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</si>
  <si>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</si>
  <si>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</si>
  <si>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</si>
  <si>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WL</t>
  </si>
  <si>
    <t>BASELINE Level Number</t>
  </si>
  <si>
    <t xml:space="preserve">Level 1 </t>
  </si>
  <si>
    <t>BASELINE Configuration</t>
  </si>
  <si>
    <t xml:space="preserve">Level 2 </t>
  </si>
  <si>
    <t>M1 =</t>
  </si>
  <si>
    <t>M2 =</t>
  </si>
  <si>
    <t>Run</t>
  </si>
  <si>
    <t>N1:  no clip</t>
  </si>
  <si>
    <t>N2:  clip</t>
  </si>
  <si>
    <t>b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</si>
  <si>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</si>
  <si>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</si>
  <si>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Calculations for Run 1:</t>
  </si>
  <si>
    <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</si>
  <si>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</si>
  <si>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</si>
  <si>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^</t>
    </r>
    <r>
      <rPr>
        <vertAlign val="superscript"/>
        <sz val="11"/>
        <rFont val="Arial"/>
        <family val="2"/>
      </rPr>
      <t>2</t>
    </r>
  </si>
  <si>
    <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</si>
  <si>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</si>
  <si>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(y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)^</t>
    </r>
    <r>
      <rPr>
        <vertAlign val="superscript"/>
        <sz val="11"/>
        <rFont val="Arial"/>
        <family val="2"/>
      </rPr>
      <t>2</t>
    </r>
  </si>
  <si>
    <t>Run No</t>
  </si>
  <si>
    <t>1</t>
  </si>
  <si>
    <t>2</t>
  </si>
  <si>
    <t>grand avg:</t>
  </si>
  <si>
    <r>
      <t>T-bar</t>
    </r>
    <r>
      <rPr>
        <vertAlign val="subscript"/>
        <sz val="12"/>
        <rFont val="Symbol"/>
        <family val="1"/>
      </rPr>
      <t>b</t>
    </r>
    <r>
      <rPr>
        <sz val="12"/>
        <rFont val="Arial"/>
        <family val="2"/>
      </rPr>
      <t xml:space="preserve"> </t>
    </r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</si>
  <si>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</si>
  <si>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</si>
  <si>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</si>
  <si>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</si>
  <si>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</si>
  <si>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Response Table for Beta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</si>
  <si>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</si>
  <si>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</si>
  <si>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</si>
  <si>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</si>
  <si>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</si>
  <si>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</si>
  <si>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</si>
  <si>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</si>
  <si>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</si>
  <si>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</si>
  <si>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</si>
  <si>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</si>
  <si>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</si>
  <si>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</si>
  <si>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</si>
  <si>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</si>
  <si>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</si>
  <si>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</si>
  <si>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</si>
  <si>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</si>
  <si>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</si>
  <si>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</si>
  <si>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</si>
  <si>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</si>
  <si>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</si>
  <si>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</si>
  <si>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</si>
  <si>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</si>
  <si>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</si>
  <si>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</si>
  <si>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</si>
  <si>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</si>
  <si>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</si>
  <si>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</si>
  <si>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</si>
  <si>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WW</t>
  </si>
  <si>
    <t>c3</t>
  </si>
  <si>
    <t>BW</t>
  </si>
  <si>
    <t>c5</t>
  </si>
  <si>
    <t>c6</t>
  </si>
  <si>
    <t>WP</t>
  </si>
  <si>
    <t>12</t>
  </si>
  <si>
    <t>6</t>
  </si>
  <si>
    <t>3</t>
  </si>
  <si>
    <t>dwn 1</t>
  </si>
  <si>
    <t>9</t>
  </si>
  <si>
    <t>0</t>
  </si>
  <si>
    <t>WL = wing length</t>
  </si>
  <si>
    <t>WW = wing width</t>
  </si>
  <si>
    <t>BW = lower body width</t>
  </si>
  <si>
    <t xml:space="preserve">  (upper body width is determined by the wing width)</t>
  </si>
  <si>
    <t>WP = wing pitch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</si>
</sst>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0"/>
    </font>
    <font>
      <sz val="8"/>
      <color indexed="44"/>
      <name val="Arial"/>
      <family val="2"/>
    </font>
    <font>
      <b/>
      <sz val="10"/>
      <name val="Symbol"/>
      <family val="1"/>
    </font>
    <font>
      <sz val="10"/>
      <color indexed="12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4" xfId="0" applyFill="1" applyBorder="1" applyAlignment="1" applyProtection="1">
      <alignment/>
      <protection/>
    </xf>
    <xf numFmtId="0" fontId="15" fillId="0" borderId="7" xfId="0" applyFont="1" applyBorder="1" applyAlignment="1" applyProtection="1">
      <alignment horizontal="centerContinuous" vertical="center"/>
      <protection/>
    </xf>
    <xf numFmtId="0" fontId="15" fillId="0" borderId="8" xfId="0" applyFont="1" applyBorder="1" applyAlignment="1" applyProtection="1">
      <alignment horizontal="centerContinuous" vertical="center"/>
      <protection/>
    </xf>
    <xf numFmtId="0" fontId="15" fillId="0" borderId="9" xfId="0" applyFont="1" applyBorder="1" applyAlignment="1" applyProtection="1">
      <alignment horizontal="centerContinuous" vertical="center"/>
      <protection/>
    </xf>
    <xf numFmtId="0" fontId="15" fillId="0" borderId="1" xfId="0" applyFont="1" applyBorder="1" applyAlignment="1" applyProtection="1">
      <alignment horizontal="centerContinuous" vertical="top"/>
      <protection/>
    </xf>
    <xf numFmtId="172" fontId="0" fillId="3" borderId="10" xfId="0" applyNumberFormat="1" applyFont="1" applyFill="1" applyBorder="1" applyAlignment="1" applyProtection="1" quotePrefix="1">
      <alignment horizontal="right"/>
      <protection locked="0"/>
    </xf>
    <xf numFmtId="172" fontId="0" fillId="3" borderId="11" xfId="0" applyNumberFormat="1" applyFont="1" applyFill="1" applyBorder="1" applyAlignment="1" applyProtection="1">
      <alignment horizontal="right"/>
      <protection locked="0"/>
    </xf>
    <xf numFmtId="172" fontId="0" fillId="3" borderId="12" xfId="0" applyNumberFormat="1" applyFont="1" applyFill="1" applyBorder="1" applyAlignment="1" applyProtection="1">
      <alignment horizontal="right"/>
      <protection locked="0"/>
    </xf>
    <xf numFmtId="172" fontId="0" fillId="3" borderId="13" xfId="0" applyNumberFormat="1" applyFont="1" applyFill="1" applyBorder="1" applyAlignment="1" applyProtection="1" quotePrefix="1">
      <alignment horizontal="right"/>
      <protection locked="0"/>
    </xf>
    <xf numFmtId="172" fontId="0" fillId="3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>
      <alignment horizontal="right"/>
      <protection locked="0"/>
    </xf>
    <xf numFmtId="172" fontId="0" fillId="4" borderId="16" xfId="0" applyNumberFormat="1" applyFont="1" applyFill="1" applyBorder="1" applyAlignment="1" applyProtection="1" quotePrefix="1">
      <alignment horizontal="right"/>
      <protection locked="0"/>
    </xf>
    <xf numFmtId="172" fontId="0" fillId="4" borderId="10" xfId="0" applyNumberFormat="1" applyFont="1" applyFill="1" applyBorder="1" applyAlignment="1" applyProtection="1" quotePrefix="1">
      <alignment horizontal="right"/>
      <protection locked="0"/>
    </xf>
    <xf numFmtId="172" fontId="0" fillId="4" borderId="11" xfId="0" applyNumberFormat="1" applyFont="1" applyFill="1" applyBorder="1" applyAlignment="1" applyProtection="1">
      <alignment horizontal="right"/>
      <protection locked="0"/>
    </xf>
    <xf numFmtId="172" fontId="0" fillId="4" borderId="17" xfId="0" applyNumberFormat="1" applyFont="1" applyFill="1" applyBorder="1" applyAlignment="1" applyProtection="1" quotePrefix="1">
      <alignment horizontal="right"/>
      <protection locked="0"/>
    </xf>
    <xf numFmtId="172" fontId="0" fillId="4" borderId="13" xfId="0" applyNumberFormat="1" applyFont="1" applyFill="1" applyBorder="1" applyAlignment="1" applyProtection="1" quotePrefix="1">
      <alignment horizontal="right"/>
      <protection locked="0"/>
    </xf>
    <xf numFmtId="172" fontId="0" fillId="4" borderId="14" xfId="0" applyNumberFormat="1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 quotePrefix="1">
      <alignment horizontal="center" vertical="top"/>
      <protection/>
    </xf>
    <xf numFmtId="49" fontId="20" fillId="0" borderId="4" xfId="0" applyNumberFormat="1" applyFont="1" applyBorder="1" applyAlignment="1" applyProtection="1" quotePrefix="1">
      <alignment horizontal="center" vertical="top"/>
      <protection/>
    </xf>
    <xf numFmtId="49" fontId="20" fillId="0" borderId="6" xfId="0" applyNumberFormat="1" applyFont="1" applyBorder="1" applyAlignment="1" applyProtection="1" quotePrefix="1">
      <alignment horizontal="center" vertical="top"/>
      <protection/>
    </xf>
    <xf numFmtId="49" fontId="20" fillId="0" borderId="21" xfId="0" applyNumberFormat="1" applyFont="1" applyBorder="1" applyAlignment="1" applyProtection="1" quotePrefix="1">
      <alignment horizontal="center" vertical="top"/>
      <protection/>
    </xf>
    <xf numFmtId="49" fontId="20" fillId="0" borderId="0" xfId="0" applyNumberFormat="1" applyFont="1" applyBorder="1" applyAlignment="1" applyProtection="1" quotePrefix="1">
      <alignment horizontal="center" vertical="top"/>
      <protection/>
    </xf>
    <xf numFmtId="49" fontId="20" fillId="0" borderId="2" xfId="0" applyNumberFormat="1" applyFont="1" applyBorder="1" applyAlignment="1" applyProtection="1" quotePrefix="1">
      <alignment horizontal="center" vertical="top"/>
      <protection/>
    </xf>
    <xf numFmtId="49" fontId="20" fillId="0" borderId="7" xfId="0" applyNumberFormat="1" applyFont="1" applyBorder="1" applyAlignment="1" applyProtection="1" quotePrefix="1">
      <alignment horizontal="center" vertical="top"/>
      <protection/>
    </xf>
    <xf numFmtId="49" fontId="20" fillId="0" borderId="8" xfId="0" applyNumberFormat="1" applyFont="1" applyBorder="1" applyAlignment="1" applyProtection="1" quotePrefix="1">
      <alignment horizontal="center" vertical="top"/>
      <protection/>
    </xf>
    <xf numFmtId="49" fontId="20" fillId="0" borderId="1" xfId="0" applyNumberFormat="1" applyFont="1" applyBorder="1" applyAlignment="1" applyProtection="1" quotePrefix="1">
      <alignment horizontal="center" vertical="top"/>
      <protection/>
    </xf>
    <xf numFmtId="49" fontId="10" fillId="0" borderId="20" xfId="0" applyNumberFormat="1" applyFont="1" applyBorder="1" applyAlignment="1" applyProtection="1" quotePrefix="1">
      <alignment horizontal="center" vertical="top"/>
      <protection/>
    </xf>
    <xf numFmtId="49" fontId="10" fillId="0" borderId="4" xfId="0" applyNumberFormat="1" applyFont="1" applyBorder="1" applyAlignment="1" applyProtection="1" quotePrefix="1">
      <alignment horizontal="center" vertical="top"/>
      <protection/>
    </xf>
    <xf numFmtId="49" fontId="10" fillId="0" borderId="6" xfId="0" applyNumberFormat="1" applyFont="1" applyBorder="1" applyAlignment="1" applyProtection="1" quotePrefix="1">
      <alignment horizontal="center" vertical="top"/>
      <protection/>
    </xf>
    <xf numFmtId="49" fontId="10" fillId="0" borderId="21" xfId="0" applyNumberFormat="1" applyFont="1" applyBorder="1" applyAlignment="1" applyProtection="1" quotePrefix="1">
      <alignment horizontal="center" vertical="top"/>
      <protection/>
    </xf>
    <xf numFmtId="49" fontId="10" fillId="0" borderId="0" xfId="0" applyNumberFormat="1" applyFont="1" applyBorder="1" applyAlignment="1" applyProtection="1" quotePrefix="1">
      <alignment horizontal="center" vertical="top"/>
      <protection/>
    </xf>
    <xf numFmtId="49" fontId="10" fillId="0" borderId="2" xfId="0" applyNumberFormat="1" applyFont="1" applyBorder="1" applyAlignment="1" applyProtection="1" quotePrefix="1">
      <alignment horizontal="center" vertical="top"/>
      <protection/>
    </xf>
    <xf numFmtId="49" fontId="10" fillId="0" borderId="7" xfId="0" applyNumberFormat="1" applyFont="1" applyBorder="1" applyAlignment="1" applyProtection="1" quotePrefix="1">
      <alignment horizontal="center" vertical="top"/>
      <protection/>
    </xf>
    <xf numFmtId="49" fontId="10" fillId="0" borderId="8" xfId="0" applyNumberFormat="1" applyFont="1" applyBorder="1" applyAlignment="1" applyProtection="1" quotePrefix="1">
      <alignment horizontal="center" vertical="top"/>
      <protection/>
    </xf>
    <xf numFmtId="49" fontId="10" fillId="0" borderId="1" xfId="0" applyNumberFormat="1" applyFont="1" applyBorder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Continuous" vertical="top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72" fontId="0" fillId="4" borderId="23" xfId="0" applyNumberFormat="1" applyFont="1" applyFill="1" applyBorder="1" applyAlignment="1" applyProtection="1">
      <alignment horizontal="right"/>
      <protection locked="0"/>
    </xf>
    <xf numFmtId="172" fontId="0" fillId="4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4" xfId="0" applyFont="1" applyFill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right"/>
      <protection/>
    </xf>
    <xf numFmtId="172" fontId="25" fillId="0" borderId="4" xfId="0" applyNumberFormat="1" applyFont="1" applyFill="1" applyBorder="1" applyAlignment="1" applyProtection="1">
      <alignment horizontal="left"/>
      <protection/>
    </xf>
    <xf numFmtId="0" fontId="26" fillId="0" borderId="4" xfId="0" applyFont="1" applyFill="1" applyBorder="1" applyAlignment="1" applyProtection="1">
      <alignment horizontal="centerContinuous"/>
      <protection/>
    </xf>
    <xf numFmtId="0" fontId="26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72" fontId="9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49" fontId="26" fillId="0" borderId="2" xfId="0" applyNumberFormat="1" applyFont="1" applyBorder="1" applyAlignment="1" applyProtection="1">
      <alignment horizontal="center"/>
      <protection/>
    </xf>
    <xf numFmtId="49" fontId="0" fillId="5" borderId="26" xfId="0" applyNumberFormat="1" applyFont="1" applyFill="1" applyBorder="1" applyAlignment="1" applyProtection="1">
      <alignment horizontal="center"/>
      <protection locked="0"/>
    </xf>
    <xf numFmtId="49" fontId="0" fillId="5" borderId="27" xfId="0" applyNumberFormat="1" applyFont="1" applyFill="1" applyBorder="1" applyAlignment="1" applyProtection="1">
      <alignment horizontal="center"/>
      <protection locked="0"/>
    </xf>
    <xf numFmtId="49" fontId="0" fillId="5" borderId="28" xfId="0" applyNumberFormat="1" applyFont="1" applyFill="1" applyBorder="1" applyAlignment="1" applyProtection="1">
      <alignment horizontal="center"/>
      <protection locked="0"/>
    </xf>
    <xf numFmtId="49" fontId="0" fillId="5" borderId="29" xfId="0" applyNumberFormat="1" applyFont="1" applyFill="1" applyBorder="1" applyAlignment="1" applyProtection="1">
      <alignment horizontal="center"/>
      <protection locked="0"/>
    </xf>
    <xf numFmtId="49" fontId="0" fillId="5" borderId="30" xfId="0" applyNumberFormat="1" applyFont="1" applyFill="1" applyBorder="1" applyAlignment="1" applyProtection="1">
      <alignment horizontal="center"/>
      <protection locked="0"/>
    </xf>
    <xf numFmtId="49" fontId="0" fillId="5" borderId="3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5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8" fillId="0" borderId="0" xfId="0" applyFont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horizontal="center" vertical="top"/>
      <protection/>
    </xf>
    <xf numFmtId="49" fontId="9" fillId="0" borderId="21" xfId="0" applyNumberFormat="1" applyFont="1" applyBorder="1" applyAlignment="1" applyProtection="1">
      <alignment horizontal="center" vertical="top"/>
      <protection/>
    </xf>
    <xf numFmtId="49" fontId="9" fillId="0" borderId="7" xfId="0" applyNumberFormat="1" applyFont="1" applyBorder="1" applyAlignment="1" applyProtection="1">
      <alignment horizontal="center" vertical="top"/>
      <protection/>
    </xf>
    <xf numFmtId="49" fontId="9" fillId="0" borderId="8" xfId="0" applyNumberFormat="1" applyFont="1" applyBorder="1" applyAlignment="1" applyProtection="1">
      <alignment horizontal="center" vertical="top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49" fontId="9" fillId="0" borderId="6" xfId="0" applyNumberFormat="1" applyFont="1" applyBorder="1" applyAlignment="1" applyProtection="1">
      <alignment horizontal="center" vertical="top"/>
      <protection/>
    </xf>
    <xf numFmtId="49" fontId="9" fillId="0" borderId="2" xfId="0" applyNumberFormat="1" applyFont="1" applyBorder="1" applyAlignment="1" applyProtection="1">
      <alignment horizontal="center" vertical="top"/>
      <protection/>
    </xf>
    <xf numFmtId="49" fontId="9" fillId="0" borderId="1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5" borderId="33" xfId="0" applyNumberFormat="1" applyFont="1" applyFill="1" applyBorder="1" applyAlignment="1" applyProtection="1">
      <alignment horizontal="center"/>
      <protection locked="0"/>
    </xf>
    <xf numFmtId="0" fontId="15" fillId="5" borderId="34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7" fillId="0" borderId="25" xfId="0" applyNumberFormat="1" applyFont="1" applyBorder="1" applyAlignment="1" applyProtection="1">
      <alignment horizontal="centerContinuous"/>
      <protection/>
    </xf>
    <xf numFmtId="172" fontId="7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2" fontId="7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26" fillId="0" borderId="3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>
      <alignment horizontal="centerContinuous"/>
    </xf>
    <xf numFmtId="0" fontId="14" fillId="0" borderId="40" xfId="0" applyFont="1" applyBorder="1" applyAlignment="1" applyProtection="1">
      <alignment horizontal="centerContinuous" vertical="top"/>
      <protection/>
    </xf>
    <xf numFmtId="0" fontId="15" fillId="0" borderId="40" xfId="0" applyFont="1" applyBorder="1" applyAlignment="1" applyProtection="1">
      <alignment horizontal="centerContinuous" vertical="top"/>
      <protection/>
    </xf>
    <xf numFmtId="172" fontId="7" fillId="0" borderId="0" xfId="0" applyNumberFormat="1" applyFont="1" applyFill="1" applyBorder="1" applyAlignment="1">
      <alignment/>
    </xf>
    <xf numFmtId="0" fontId="29" fillId="0" borderId="20" xfId="0" applyFont="1" applyFill="1" applyBorder="1" applyAlignment="1" applyProtection="1">
      <alignment horizontal="centerContinuous"/>
      <protection/>
    </xf>
    <xf numFmtId="0" fontId="29" fillId="0" borderId="4" xfId="0" applyFont="1" applyFill="1" applyBorder="1" applyAlignment="1" applyProtection="1">
      <alignment horizontal="centerContinuous"/>
      <protection/>
    </xf>
    <xf numFmtId="0" fontId="29" fillId="0" borderId="41" xfId="0" applyFont="1" applyFill="1" applyBorder="1" applyAlignment="1" applyProtection="1">
      <alignment horizontal="centerContinuous"/>
      <protection/>
    </xf>
    <xf numFmtId="0" fontId="29" fillId="0" borderId="6" xfId="0" applyFont="1" applyFill="1" applyBorder="1" applyAlignment="1" applyProtection="1">
      <alignment horizontal="centerContinuous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29" fillId="0" borderId="42" xfId="0" applyFont="1" applyFill="1" applyBorder="1" applyAlignment="1" applyProtection="1">
      <alignment horizontal="right" vertical="center"/>
      <protection/>
    </xf>
    <xf numFmtId="0" fontId="30" fillId="0" borderId="7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30" fillId="0" borderId="43" xfId="0" applyFont="1" applyFill="1" applyBorder="1" applyAlignment="1" applyProtection="1">
      <alignment vertical="center"/>
      <protection/>
    </xf>
    <xf numFmtId="0" fontId="29" fillId="0" borderId="44" xfId="0" applyFont="1" applyFill="1" applyBorder="1" applyAlignment="1" applyProtection="1">
      <alignment horizontal="right" vertical="center"/>
      <protection/>
    </xf>
    <xf numFmtId="0" fontId="29" fillId="0" borderId="25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/>
    </xf>
    <xf numFmtId="0" fontId="32" fillId="0" borderId="3" xfId="0" applyFont="1" applyBorder="1" applyAlignment="1" applyProtection="1">
      <alignment horizontal="center" vertical="center" wrapText="1"/>
      <protection/>
    </xf>
    <xf numFmtId="0" fontId="32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5" xfId="0" applyNumberFormat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172" fontId="0" fillId="5" borderId="5" xfId="0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Border="1" applyAlignment="1" applyProtection="1">
      <alignment horizontal="center" vertical="top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5" borderId="28" xfId="0" applyNumberFormat="1" applyFont="1" applyFill="1" applyBorder="1" applyAlignment="1" applyProtection="1">
      <alignment horizontal="center"/>
      <protection locked="0"/>
    </xf>
    <xf numFmtId="172" fontId="0" fillId="0" borderId="43" xfId="0" applyNumberFormat="1" applyFont="1" applyBorder="1" applyAlignment="1" applyProtection="1">
      <alignment horizontal="center"/>
      <protection/>
    </xf>
    <xf numFmtId="172" fontId="0" fillId="0" borderId="45" xfId="0" applyNumberFormat="1" applyFont="1" applyBorder="1" applyAlignment="1" applyProtection="1">
      <alignment horizontal="center"/>
      <protection/>
    </xf>
    <xf numFmtId="172" fontId="0" fillId="5" borderId="46" xfId="0" applyNumberFormat="1" applyFont="1" applyFill="1" applyBorder="1" applyAlignment="1" applyProtection="1">
      <alignment horizontal="center"/>
      <protection locked="0"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5" borderId="28" xfId="0" applyNumberFormat="1" applyFont="1" applyFill="1" applyBorder="1" applyAlignment="1" applyProtection="1">
      <alignment horizontal="center"/>
      <protection locked="0"/>
    </xf>
    <xf numFmtId="2" fontId="0" fillId="0" borderId="43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/>
      <protection/>
    </xf>
    <xf numFmtId="2" fontId="0" fillId="5" borderId="4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2" fontId="0" fillId="5" borderId="5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Border="1" applyAlignment="1">
      <alignment horizontal="centerContinuous"/>
    </xf>
    <xf numFmtId="172" fontId="7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 wrapText="1"/>
      <protection/>
    </xf>
    <xf numFmtId="0" fontId="37" fillId="0" borderId="3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 wrapText="1"/>
      <protection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30" fillId="0" borderId="47" xfId="0" applyFont="1" applyBorder="1" applyAlignment="1">
      <alignment/>
    </xf>
    <xf numFmtId="0" fontId="0" fillId="0" borderId="40" xfId="0" applyBorder="1" applyAlignment="1">
      <alignment/>
    </xf>
    <xf numFmtId="172" fontId="0" fillId="0" borderId="45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quotePrefix="1">
      <alignment horizontal="right"/>
    </xf>
    <xf numFmtId="0" fontId="0" fillId="0" borderId="47" xfId="0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45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45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5" xfId="0" applyNumberFormat="1" applyFill="1" applyBorder="1" applyAlignment="1">
      <alignment horizontal="right"/>
    </xf>
    <xf numFmtId="0" fontId="34" fillId="0" borderId="35" xfId="0" applyFont="1" applyBorder="1" applyAlignment="1">
      <alignment/>
    </xf>
    <xf numFmtId="0" fontId="0" fillId="0" borderId="47" xfId="0" applyBorder="1" applyAlignment="1">
      <alignment/>
    </xf>
    <xf numFmtId="0" fontId="29" fillId="0" borderId="3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7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 wrapText="1"/>
    </xf>
    <xf numFmtId="0" fontId="8" fillId="0" borderId="48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50" xfId="0" applyFont="1" applyFill="1" applyBorder="1" applyAlignment="1" applyProtection="1">
      <alignment horizontal="centerContinuous"/>
      <protection/>
    </xf>
    <xf numFmtId="0" fontId="1" fillId="0" borderId="39" xfId="0" applyFont="1" applyFill="1" applyBorder="1" applyAlignment="1" applyProtection="1">
      <alignment horizontal="centerContinuous"/>
      <protection/>
    </xf>
    <xf numFmtId="0" fontId="29" fillId="0" borderId="51" xfId="0" applyFont="1" applyFill="1" applyBorder="1" applyAlignment="1" applyProtection="1">
      <alignment horizontal="centerContinuous"/>
      <protection/>
    </xf>
    <xf numFmtId="0" fontId="29" fillId="0" borderId="42" xfId="0" applyFont="1" applyFill="1" applyBorder="1" applyAlignment="1" applyProtection="1">
      <alignment horizontal="centerContinuous"/>
      <protection/>
    </xf>
    <xf numFmtId="0" fontId="29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31" fillId="6" borderId="43" xfId="0" applyNumberFormat="1" applyFont="1" applyFill="1" applyBorder="1" applyAlignment="1" applyProtection="1">
      <alignment horizontal="centerContinuous" vertical="center"/>
      <protection/>
    </xf>
    <xf numFmtId="172" fontId="31" fillId="6" borderId="44" xfId="0" applyNumberFormat="1" applyFont="1" applyFill="1" applyBorder="1" applyAlignment="1" applyProtection="1">
      <alignment horizontal="centerContinuous" vertical="center"/>
      <protection/>
    </xf>
    <xf numFmtId="2" fontId="31" fillId="6" borderId="52" xfId="0" applyNumberFormat="1" applyFont="1" applyFill="1" applyBorder="1" applyAlignment="1" applyProtection="1">
      <alignment horizontal="centerContinuous" vertical="center"/>
      <protection/>
    </xf>
    <xf numFmtId="172" fontId="31" fillId="7" borderId="53" xfId="0" applyNumberFormat="1" applyFont="1" applyFill="1" applyBorder="1" applyAlignment="1" applyProtection="1">
      <alignment horizontal="centerContinuous" vertical="center"/>
      <protection/>
    </xf>
    <xf numFmtId="172" fontId="31" fillId="7" borderId="38" xfId="0" applyNumberFormat="1" applyFont="1" applyFill="1" applyBorder="1" applyAlignment="1" applyProtection="1">
      <alignment horizontal="centerContinuous" vertical="center"/>
      <protection/>
    </xf>
    <xf numFmtId="2" fontId="31" fillId="7" borderId="36" xfId="0" applyNumberFormat="1" applyFont="1" applyFill="1" applyBorder="1" applyAlignment="1" applyProtection="1">
      <alignment horizontal="centerContinuous" vertical="center"/>
      <protection/>
    </xf>
    <xf numFmtId="172" fontId="31" fillId="0" borderId="18" xfId="0" applyNumberFormat="1" applyFont="1" applyFill="1" applyBorder="1" applyAlignment="1" applyProtection="1">
      <alignment horizontal="centerContinuous" vertical="center"/>
      <protection/>
    </xf>
    <xf numFmtId="172" fontId="31" fillId="0" borderId="54" xfId="0" applyNumberFormat="1" applyFont="1" applyFill="1" applyBorder="1" applyAlignment="1" applyProtection="1">
      <alignment horizontal="centerContinuous" vertical="center"/>
      <protection/>
    </xf>
    <xf numFmtId="2" fontId="31" fillId="0" borderId="55" xfId="0" applyNumberFormat="1" applyFont="1" applyFill="1" applyBorder="1" applyAlignment="1" applyProtection="1">
      <alignment horizontal="centerContinuous" vertical="center"/>
      <protection/>
    </xf>
    <xf numFmtId="17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38" xfId="0" applyNumberFormat="1" applyFont="1" applyFill="1" applyBorder="1" applyAlignment="1" applyProtection="1">
      <alignment horizontal="centerContinuous" vertical="center"/>
      <protection/>
    </xf>
    <xf numFmtId="17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44" xfId="0" applyNumberFormat="1" applyFont="1" applyFill="1" applyBorder="1" applyAlignment="1" applyProtection="1">
      <alignment horizontal="centerContinuous" vertical="center"/>
      <protection/>
    </xf>
    <xf numFmtId="17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4" xfId="0" applyNumberFormat="1" applyFont="1" applyFill="1" applyBorder="1" applyAlignment="1" applyProtection="1">
      <alignment horizontal="centerContinuous" vertical="center"/>
      <protection/>
    </xf>
    <xf numFmtId="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56" xfId="0" applyNumberFormat="1" applyFont="1" applyFill="1" applyBorder="1" applyAlignment="1" applyProtection="1">
      <alignment horizontal="centerContinuous" vertical="center"/>
      <protection/>
    </xf>
    <xf numFmtId="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57" xfId="0" applyNumberFormat="1" applyFont="1" applyFill="1" applyBorder="1" applyAlignment="1" applyProtection="1">
      <alignment horizontal="centerContinuous" vertical="center"/>
      <protection/>
    </xf>
    <xf numFmtId="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7" fillId="0" borderId="22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49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40" fillId="0" borderId="59" xfId="0" applyFont="1" applyBorder="1" applyAlignment="1" applyProtection="1">
      <alignment horizontal="center"/>
      <protection/>
    </xf>
    <xf numFmtId="0" fontId="40" fillId="0" borderId="4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49" fontId="26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 horizontal="centerContinuous"/>
      <protection/>
    </xf>
    <xf numFmtId="0" fontId="56" fillId="0" borderId="0" xfId="0" applyFont="1" applyAlignment="1" applyProtection="1">
      <alignment horizontal="centerContinuous"/>
      <protection/>
    </xf>
    <xf numFmtId="0" fontId="56" fillId="0" borderId="0" xfId="0" applyFont="1" applyFill="1" applyAlignment="1" applyProtection="1">
      <alignment horizontal="centerContinuous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58" xfId="0" applyFont="1" applyFill="1" applyBorder="1" applyAlignment="1" applyProtection="1">
      <alignment horizontal="center" vertical="center"/>
      <protection/>
    </xf>
    <xf numFmtId="49" fontId="58" fillId="0" borderId="4" xfId="0" applyNumberFormat="1" applyFont="1" applyBorder="1" applyAlignment="1" applyProtection="1" quotePrefix="1">
      <alignment horizontal="center" vertical="top"/>
      <protection/>
    </xf>
    <xf numFmtId="49" fontId="58" fillId="0" borderId="0" xfId="0" applyNumberFormat="1" applyFont="1" applyBorder="1" applyAlignment="1" applyProtection="1" quotePrefix="1">
      <alignment horizontal="center" vertical="top"/>
      <protection/>
    </xf>
    <xf numFmtId="49" fontId="58" fillId="0" borderId="8" xfId="0" applyNumberFormat="1" applyFont="1" applyBorder="1" applyAlignment="1" applyProtection="1" quotePrefix="1">
      <alignment horizontal="center" vertical="top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59" fillId="0" borderId="6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0" fillId="7" borderId="25" xfId="0" applyFill="1" applyBorder="1" applyAlignment="1">
      <alignment/>
    </xf>
    <xf numFmtId="0" fontId="1" fillId="7" borderId="25" xfId="0" applyFont="1" applyFill="1" applyBorder="1" applyAlignment="1">
      <alignment horizontal="right"/>
    </xf>
    <xf numFmtId="0" fontId="1" fillId="7" borderId="25" xfId="0" applyFont="1" applyFill="1" applyBorder="1" applyAlignment="1">
      <alignment/>
    </xf>
    <xf numFmtId="0" fontId="0" fillId="6" borderId="25" xfId="0" applyFill="1" applyBorder="1" applyAlignment="1">
      <alignment/>
    </xf>
    <xf numFmtId="0" fontId="1" fillId="6" borderId="25" xfId="0" applyFont="1" applyFill="1" applyBorder="1" applyAlignment="1">
      <alignment horizontal="right"/>
    </xf>
    <xf numFmtId="0" fontId="1" fillId="6" borderId="25" xfId="0" applyFont="1" applyFill="1" applyBorder="1" applyAlignment="1">
      <alignment/>
    </xf>
    <xf numFmtId="172" fontId="1" fillId="7" borderId="25" xfId="0" applyNumberFormat="1" applyFont="1" applyFill="1" applyBorder="1" applyAlignment="1">
      <alignment horizontal="right"/>
    </xf>
    <xf numFmtId="2" fontId="1" fillId="7" borderId="2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2" fontId="7" fillId="0" borderId="36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0" xfId="0" applyBorder="1" applyAlignment="1" applyProtection="1">
      <alignment/>
      <protection/>
    </xf>
    <xf numFmtId="0" fontId="15" fillId="0" borderId="8" xfId="0" applyFont="1" applyBorder="1" applyAlignment="1" applyProtection="1">
      <alignment horizontal="centerContinuous"/>
      <protection/>
    </xf>
    <xf numFmtId="2" fontId="2" fillId="7" borderId="48" xfId="0" applyNumberFormat="1" applyFont="1" applyFill="1" applyBorder="1" applyAlignment="1" applyProtection="1">
      <alignment horizontal="right"/>
      <protection/>
    </xf>
    <xf numFmtId="2" fontId="0" fillId="7" borderId="48" xfId="0" applyNumberFormat="1" applyFont="1" applyFill="1" applyBorder="1" applyAlignment="1" applyProtection="1">
      <alignment horizontal="right"/>
      <protection/>
    </xf>
    <xf numFmtId="172" fontId="2" fillId="7" borderId="48" xfId="0" applyNumberFormat="1" applyFont="1" applyFill="1" applyBorder="1" applyAlignment="1" applyProtection="1">
      <alignment horizontal="right"/>
      <protection/>
    </xf>
    <xf numFmtId="2" fontId="2" fillId="6" borderId="49" xfId="0" applyNumberFormat="1" applyFont="1" applyFill="1" applyBorder="1" applyAlignment="1" applyProtection="1">
      <alignment horizontal="right"/>
      <protection/>
    </xf>
    <xf numFmtId="2" fontId="0" fillId="6" borderId="49" xfId="0" applyNumberFormat="1" applyFont="1" applyFill="1" applyBorder="1" applyAlignment="1" applyProtection="1">
      <alignment horizontal="right"/>
      <protection/>
    </xf>
    <xf numFmtId="172" fontId="2" fillId="6" borderId="49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7" borderId="0" xfId="0" applyFill="1" applyBorder="1" applyAlignment="1" applyProtection="1">
      <alignment horizontal="centerContinuous"/>
      <protection/>
    </xf>
    <xf numFmtId="0" fontId="0" fillId="6" borderId="45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172" fontId="0" fillId="3" borderId="32" xfId="0" applyNumberFormat="1" applyFill="1" applyBorder="1" applyAlignment="1" applyProtection="1">
      <alignment horizontal="right"/>
      <protection locked="0"/>
    </xf>
    <xf numFmtId="172" fontId="0" fillId="5" borderId="32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center"/>
      <protection locked="0"/>
    </xf>
    <xf numFmtId="2" fontId="0" fillId="3" borderId="32" xfId="0" applyNumberFormat="1" applyFill="1" applyBorder="1" applyAlignment="1" applyProtection="1">
      <alignment horizontal="right"/>
      <protection locked="0"/>
    </xf>
    <xf numFmtId="2" fontId="0" fillId="5" borderId="32" xfId="0" applyNumberFormat="1" applyFill="1" applyBorder="1" applyAlignment="1" applyProtection="1">
      <alignment horizontal="right"/>
      <protection locked="0"/>
    </xf>
    <xf numFmtId="172" fontId="7" fillId="0" borderId="0" xfId="0" applyNumberFormat="1" applyFont="1" applyBorder="1" applyAlignment="1" applyProtection="1">
      <alignment horizontal="right" wrapText="1"/>
      <protection/>
    </xf>
    <xf numFmtId="2" fontId="9" fillId="0" borderId="48" xfId="0" applyNumberFormat="1" applyFont="1" applyFill="1" applyBorder="1" applyAlignment="1" applyProtection="1">
      <alignment horizontal="right"/>
      <protection/>
    </xf>
    <xf numFmtId="172" fontId="9" fillId="0" borderId="4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9" fillId="0" borderId="59" xfId="0" applyNumberFormat="1" applyFont="1" applyFill="1" applyBorder="1" applyAlignment="1" applyProtection="1">
      <alignment horizontal="right"/>
      <protection/>
    </xf>
    <xf numFmtId="172" fontId="9" fillId="0" borderId="59" xfId="0" applyNumberFormat="1" applyFont="1" applyFill="1" applyBorder="1" applyAlignment="1" applyProtection="1">
      <alignment horizontal="right"/>
      <protection/>
    </xf>
    <xf numFmtId="2" fontId="9" fillId="0" borderId="49" xfId="0" applyNumberFormat="1" applyFont="1" applyFill="1" applyBorder="1" applyAlignment="1" applyProtection="1">
      <alignment horizontal="right"/>
      <protection/>
    </xf>
    <xf numFmtId="172" fontId="9" fillId="0" borderId="49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172" fontId="0" fillId="0" borderId="32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2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9" fillId="0" borderId="64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>
      <alignment horizontal="right"/>
      <protection/>
    </xf>
    <xf numFmtId="172" fontId="9" fillId="0" borderId="66" xfId="0" applyNumberFormat="1" applyFont="1" applyFill="1" applyBorder="1" applyAlignment="1" applyProtection="1">
      <alignment horizontal="right"/>
      <protection/>
    </xf>
    <xf numFmtId="172" fontId="9" fillId="0" borderId="67" xfId="0" applyNumberFormat="1" applyFont="1" applyFill="1" applyBorder="1" applyAlignment="1" applyProtection="1" quotePrefix="1">
      <alignment horizontal="right"/>
      <protection/>
    </xf>
    <xf numFmtId="172" fontId="9" fillId="0" borderId="68" xfId="0" applyNumberFormat="1" applyFont="1" applyFill="1" applyBorder="1" applyAlignment="1" applyProtection="1">
      <alignment horizontal="right"/>
      <protection/>
    </xf>
    <xf numFmtId="2" fontId="24" fillId="0" borderId="48" xfId="0" applyNumberFormat="1" applyFont="1" applyFill="1" applyBorder="1" applyAlignment="1" applyProtection="1">
      <alignment horizontal="right"/>
      <protection/>
    </xf>
    <xf numFmtId="172" fontId="41" fillId="0" borderId="69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>
      <alignment horizontal="right"/>
      <protection/>
    </xf>
    <xf numFmtId="172" fontId="41" fillId="0" borderId="71" xfId="0" applyNumberFormat="1" applyFont="1" applyFill="1" applyBorder="1" applyAlignment="1" applyProtection="1">
      <alignment horizontal="right"/>
      <protection/>
    </xf>
    <xf numFmtId="172" fontId="41" fillId="0" borderId="72" xfId="0" applyNumberFormat="1" applyFont="1" applyFill="1" applyBorder="1" applyAlignment="1" applyProtection="1" quotePrefix="1">
      <alignment horizontal="right"/>
      <protection/>
    </xf>
    <xf numFmtId="172" fontId="41" fillId="0" borderId="73" xfId="0" applyNumberFormat="1" applyFont="1" applyFill="1" applyBorder="1" applyAlignment="1" applyProtection="1">
      <alignment horizontal="right"/>
      <protection/>
    </xf>
    <xf numFmtId="2" fontId="46" fillId="0" borderId="59" xfId="0" applyNumberFormat="1" applyFont="1" applyFill="1" applyBorder="1" applyAlignment="1" applyProtection="1">
      <alignment horizontal="right"/>
      <protection/>
    </xf>
    <xf numFmtId="2" fontId="42" fillId="0" borderId="59" xfId="0" applyNumberFormat="1" applyFont="1" applyFill="1" applyBorder="1" applyAlignment="1" applyProtection="1">
      <alignment horizontal="right"/>
      <protection/>
    </xf>
    <xf numFmtId="172" fontId="42" fillId="0" borderId="59" xfId="0" applyNumberFormat="1" applyFont="1" applyFill="1" applyBorder="1" applyAlignment="1" applyProtection="1">
      <alignment horizontal="right"/>
      <protection/>
    </xf>
    <xf numFmtId="172" fontId="41" fillId="0" borderId="74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>
      <alignment horizontal="right"/>
      <protection/>
    </xf>
    <xf numFmtId="172" fontId="41" fillId="0" borderId="76" xfId="0" applyNumberFormat="1" applyFont="1" applyFill="1" applyBorder="1" applyAlignment="1" applyProtection="1">
      <alignment horizontal="right"/>
      <protection/>
    </xf>
    <xf numFmtId="172" fontId="41" fillId="0" borderId="77" xfId="0" applyNumberFormat="1" applyFont="1" applyFill="1" applyBorder="1" applyAlignment="1" applyProtection="1" quotePrefix="1">
      <alignment horizontal="right"/>
      <protection/>
    </xf>
    <xf numFmtId="172" fontId="41" fillId="0" borderId="78" xfId="0" applyNumberFormat="1" applyFont="1" applyFill="1" applyBorder="1" applyAlignment="1" applyProtection="1">
      <alignment horizontal="right"/>
      <protection/>
    </xf>
    <xf numFmtId="2" fontId="46" fillId="0" borderId="49" xfId="0" applyNumberFormat="1" applyFont="1" applyFill="1" applyBorder="1" applyAlignment="1" applyProtection="1">
      <alignment horizontal="right"/>
      <protection/>
    </xf>
    <xf numFmtId="2" fontId="42" fillId="0" borderId="49" xfId="0" applyNumberFormat="1" applyFont="1" applyFill="1" applyBorder="1" applyAlignment="1" applyProtection="1">
      <alignment horizontal="right"/>
      <protection/>
    </xf>
    <xf numFmtId="172" fontId="42" fillId="0" borderId="49" xfId="0" applyNumberFormat="1" applyFont="1" applyFill="1" applyBorder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 quotePrefix="1">
      <alignment horizontal="right"/>
      <protection/>
    </xf>
    <xf numFmtId="172" fontId="22" fillId="0" borderId="0" xfId="0" applyNumberFormat="1" applyFont="1" applyFill="1" applyBorder="1" applyAlignment="1" applyProtection="1">
      <alignment horizontal="right"/>
      <protection/>
    </xf>
    <xf numFmtId="172" fontId="25" fillId="0" borderId="64" xfId="0" applyNumberFormat="1" applyFont="1" applyBorder="1" applyAlignment="1" applyProtection="1">
      <alignment horizontal="right" vertical="center"/>
      <protection/>
    </xf>
    <xf numFmtId="172" fontId="25" fillId="0" borderId="65" xfId="0" applyNumberFormat="1" applyFont="1" applyBorder="1" applyAlignment="1" applyProtection="1">
      <alignment horizontal="right" vertical="center"/>
      <protection/>
    </xf>
    <xf numFmtId="172" fontId="25" fillId="0" borderId="68" xfId="0" applyNumberFormat="1" applyFont="1" applyBorder="1" applyAlignment="1" applyProtection="1">
      <alignment horizontal="right" vertical="center"/>
      <protection/>
    </xf>
    <xf numFmtId="172" fontId="25" fillId="0" borderId="69" xfId="0" applyNumberFormat="1" applyFont="1" applyBorder="1" applyAlignment="1" applyProtection="1">
      <alignment horizontal="right" vertical="center"/>
      <protection/>
    </xf>
    <xf numFmtId="172" fontId="25" fillId="0" borderId="70" xfId="0" applyNumberFormat="1" applyFont="1" applyBorder="1" applyAlignment="1" applyProtection="1">
      <alignment horizontal="right" vertical="center"/>
      <protection/>
    </xf>
    <xf numFmtId="172" fontId="25" fillId="0" borderId="73" xfId="0" applyNumberFormat="1" applyFont="1" applyBorder="1" applyAlignment="1" applyProtection="1">
      <alignment horizontal="right" vertical="center"/>
      <protection/>
    </xf>
    <xf numFmtId="172" fontId="26" fillId="0" borderId="70" xfId="0" applyNumberFormat="1" applyFont="1" applyBorder="1" applyAlignment="1" applyProtection="1">
      <alignment horizontal="right" vertical="center"/>
      <protection/>
    </xf>
    <xf numFmtId="172" fontId="26" fillId="0" borderId="69" xfId="0" applyNumberFormat="1" applyFont="1" applyBorder="1" applyAlignment="1" applyProtection="1">
      <alignment horizontal="right" vertical="center"/>
      <protection/>
    </xf>
    <xf numFmtId="172" fontId="26" fillId="0" borderId="73" xfId="0" applyNumberFormat="1" applyFont="1" applyBorder="1" applyAlignment="1" applyProtection="1">
      <alignment horizontal="right" vertical="center"/>
      <protection/>
    </xf>
    <xf numFmtId="2" fontId="26" fillId="0" borderId="75" xfId="0" applyNumberFormat="1" applyFont="1" applyBorder="1" applyAlignment="1" applyProtection="1">
      <alignment horizontal="right" vertical="center"/>
      <protection/>
    </xf>
    <xf numFmtId="2" fontId="26" fillId="0" borderId="74" xfId="0" applyNumberFormat="1" applyFont="1" applyBorder="1" applyAlignment="1" applyProtection="1">
      <alignment horizontal="right" vertical="center"/>
      <protection/>
    </xf>
    <xf numFmtId="2" fontId="26" fillId="0" borderId="78" xfId="0" applyNumberFormat="1" applyFont="1" applyBorder="1" applyAlignment="1" applyProtection="1">
      <alignment horizontal="right" vertical="center"/>
      <protection/>
    </xf>
    <xf numFmtId="0" fontId="43" fillId="2" borderId="32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172" fontId="26" fillId="5" borderId="79" xfId="0" applyNumberFormat="1" applyFont="1" applyFill="1" applyBorder="1" applyAlignment="1" applyProtection="1">
      <alignment horizontal="right" vertical="center"/>
      <protection locked="0"/>
    </xf>
    <xf numFmtId="2" fontId="26" fillId="5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172" fontId="22" fillId="0" borderId="59" xfId="0" applyNumberFormat="1" applyFont="1" applyFill="1" applyBorder="1" applyAlignment="1" applyProtection="1">
      <alignment horizontal="right"/>
      <protection/>
    </xf>
    <xf numFmtId="172" fontId="22" fillId="0" borderId="49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172" fontId="26" fillId="0" borderId="75" xfId="0" applyNumberFormat="1" applyFont="1" applyBorder="1" applyAlignment="1" applyProtection="1">
      <alignment horizontal="right" vertical="center"/>
      <protection/>
    </xf>
    <xf numFmtId="172" fontId="26" fillId="0" borderId="74" xfId="0" applyNumberFormat="1" applyFont="1" applyBorder="1" applyAlignment="1" applyProtection="1">
      <alignment horizontal="right" vertical="center"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172" fontId="26" fillId="5" borderId="26" xfId="0" applyNumberFormat="1" applyFont="1" applyFill="1" applyBorder="1" applyAlignment="1" applyProtection="1">
      <alignment horizontal="right" vertical="center"/>
      <protection locked="0"/>
    </xf>
    <xf numFmtId="172" fontId="26" fillId="5" borderId="29" xfId="0" applyNumberFormat="1" applyFont="1" applyFill="1" applyBorder="1" applyAlignment="1" applyProtection="1">
      <alignment horizontal="right" vertical="center"/>
      <protection locked="0"/>
    </xf>
    <xf numFmtId="172" fontId="0" fillId="0" borderId="4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49" xfId="0" applyNumberFormat="1" applyFont="1" applyFill="1" applyBorder="1" applyAlignment="1" applyProtection="1">
      <alignment horizontal="right"/>
      <protection/>
    </xf>
    <xf numFmtId="0" fontId="15" fillId="5" borderId="33" xfId="0" applyNumberFormat="1" applyFont="1" applyFill="1" applyBorder="1" applyAlignment="1" applyProtection="1">
      <alignment horizontal="center"/>
      <protection/>
    </xf>
    <xf numFmtId="49" fontId="0" fillId="5" borderId="27" xfId="0" applyNumberFormat="1" applyFont="1" applyFill="1" applyBorder="1" applyAlignment="1" applyProtection="1">
      <alignment horizontal="center"/>
      <protection/>
    </xf>
    <xf numFmtId="49" fontId="0" fillId="5" borderId="3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72" fontId="0" fillId="0" borderId="64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72" fontId="0" fillId="0" borderId="72" xfId="0" applyNumberFormat="1" applyFont="1" applyFill="1" applyBorder="1" applyAlignment="1" applyProtection="1" quotePrefix="1">
      <alignment horizontal="right"/>
      <protection/>
    </xf>
    <xf numFmtId="172" fontId="0" fillId="0" borderId="73" xfId="0" applyNumberFormat="1" applyFont="1" applyFill="1" applyBorder="1" applyAlignment="1" applyProtection="1">
      <alignment horizontal="right"/>
      <protection/>
    </xf>
    <xf numFmtId="172" fontId="0" fillId="0" borderId="74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>
      <alignment horizontal="right"/>
      <protection/>
    </xf>
    <xf numFmtId="172" fontId="0" fillId="0" borderId="76" xfId="0" applyNumberFormat="1" applyFont="1" applyFill="1" applyBorder="1" applyAlignment="1" applyProtection="1">
      <alignment horizontal="right"/>
      <protection/>
    </xf>
    <xf numFmtId="172" fontId="0" fillId="0" borderId="77" xfId="0" applyNumberFormat="1" applyFont="1" applyFill="1" applyBorder="1" applyAlignment="1" applyProtection="1" quotePrefix="1">
      <alignment horizontal="right"/>
      <protection/>
    </xf>
    <xf numFmtId="172" fontId="0" fillId="0" borderId="78" xfId="0" applyNumberFormat="1" applyFont="1" applyFill="1" applyBorder="1" applyAlignment="1" applyProtection="1">
      <alignment horizontal="right"/>
      <protection/>
    </xf>
    <xf numFmtId="172" fontId="26" fillId="0" borderId="37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" fontId="54" fillId="0" borderId="0" xfId="0" applyNumberFormat="1" applyFont="1" applyFill="1" applyAlignment="1" applyProtection="1">
      <alignment horizontal="left"/>
      <protection/>
    </xf>
    <xf numFmtId="172" fontId="12" fillId="0" borderId="37" xfId="0" applyNumberFormat="1" applyFont="1" applyFill="1" applyBorder="1" applyAlignment="1">
      <alignment/>
    </xf>
    <xf numFmtId="172" fontId="12" fillId="0" borderId="37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0" fillId="7" borderId="80" xfId="0" applyFill="1" applyBorder="1" applyAlignment="1">
      <alignment/>
    </xf>
    <xf numFmtId="0" fontId="0" fillId="7" borderId="81" xfId="0" applyFill="1" applyBorder="1" applyAlignment="1">
      <alignment horizontal="right"/>
    </xf>
    <xf numFmtId="172" fontId="0" fillId="7" borderId="80" xfId="0" applyNumberFormat="1" applyFill="1" applyBorder="1" applyAlignment="1">
      <alignment/>
    </xf>
    <xf numFmtId="172" fontId="0" fillId="7" borderId="82" xfId="0" applyNumberFormat="1" applyFill="1" applyBorder="1" applyAlignment="1">
      <alignment/>
    </xf>
    <xf numFmtId="172" fontId="0" fillId="7" borderId="81" xfId="0" applyNumberFormat="1" applyFill="1" applyBorder="1" applyAlignment="1">
      <alignment/>
    </xf>
    <xf numFmtId="0" fontId="0" fillId="6" borderId="80" xfId="0" applyFill="1" applyBorder="1" applyAlignment="1">
      <alignment/>
    </xf>
    <xf numFmtId="0" fontId="0" fillId="6" borderId="81" xfId="0" applyFill="1" applyBorder="1" applyAlignment="1">
      <alignment horizontal="right"/>
    </xf>
    <xf numFmtId="172" fontId="0" fillId="6" borderId="80" xfId="0" applyNumberFormat="1" applyFill="1" applyBorder="1" applyAlignment="1">
      <alignment/>
    </xf>
    <xf numFmtId="172" fontId="0" fillId="6" borderId="82" xfId="0" applyNumberFormat="1" applyFill="1" applyBorder="1" applyAlignment="1">
      <alignment/>
    </xf>
    <xf numFmtId="172" fontId="0" fillId="6" borderId="81" xfId="0" applyNumberFormat="1" applyFill="1" applyBorder="1" applyAlignment="1">
      <alignment/>
    </xf>
    <xf numFmtId="0" fontId="26" fillId="5" borderId="27" xfId="0" applyNumberFormat="1" applyFont="1" applyFill="1" applyBorder="1" applyAlignment="1" applyProtection="1">
      <alignment horizontal="center"/>
      <protection locked="0"/>
    </xf>
    <xf numFmtId="2" fontId="0" fillId="0" borderId="64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>
      <alignment horizontal="right"/>
      <protection locked="0"/>
    </xf>
    <xf numFmtId="2" fontId="0" fillId="0" borderId="66" xfId="0" applyNumberFormat="1" applyFont="1" applyFill="1" applyBorder="1" applyAlignment="1" applyProtection="1">
      <alignment horizontal="right"/>
      <protection locked="0"/>
    </xf>
    <xf numFmtId="2" fontId="0" fillId="3" borderId="10" xfId="0" applyNumberFormat="1" applyFont="1" applyFill="1" applyBorder="1" applyAlignment="1" applyProtection="1" quotePrefix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2" fontId="0" fillId="3" borderId="12" xfId="0" applyNumberFormat="1" applyFont="1" applyFill="1" applyBorder="1" applyAlignment="1" applyProtection="1">
      <alignment horizontal="right"/>
      <protection locked="0"/>
    </xf>
    <xf numFmtId="2" fontId="0" fillId="4" borderId="17" xfId="0" applyNumberFormat="1" applyFont="1" applyFill="1" applyBorder="1" applyAlignment="1" applyProtection="1" quotePrefix="1">
      <alignment horizontal="right"/>
      <protection locked="0"/>
    </xf>
    <xf numFmtId="2" fontId="0" fillId="4" borderId="13" xfId="0" applyNumberFormat="1" applyFont="1" applyFill="1" applyBorder="1" applyAlignment="1" applyProtection="1" quotePrefix="1">
      <alignment horizontal="right"/>
      <protection locked="0"/>
    </xf>
    <xf numFmtId="2" fontId="0" fillId="4" borderId="14" xfId="0" applyNumberFormat="1" applyFont="1" applyFill="1" applyBorder="1" applyAlignment="1" applyProtection="1">
      <alignment horizontal="right"/>
      <protection locked="0"/>
    </xf>
    <xf numFmtId="2" fontId="0" fillId="4" borderId="24" xfId="0" applyNumberFormat="1" applyFont="1" applyFill="1" applyBorder="1" applyAlignment="1" applyProtection="1">
      <alignment horizontal="right"/>
      <protection locked="0"/>
    </xf>
    <xf numFmtId="2" fontId="0" fillId="3" borderId="13" xfId="0" applyNumberFormat="1" applyFont="1" applyFill="1" applyBorder="1" applyAlignment="1" applyProtection="1" quotePrefix="1">
      <alignment horizontal="right"/>
      <protection locked="0"/>
    </xf>
    <xf numFmtId="2" fontId="0" fillId="3" borderId="14" xfId="0" applyNumberFormat="1" applyFont="1" applyFill="1" applyBorder="1" applyAlignment="1" applyProtection="1">
      <alignment horizontal="right"/>
      <protection locked="0"/>
    </xf>
    <xf numFmtId="2" fontId="0" fillId="3" borderId="15" xfId="0" applyNumberFormat="1" applyFont="1" applyFill="1" applyBorder="1" applyAlignment="1" applyProtection="1">
      <alignment horizontal="right"/>
      <protection locked="0"/>
    </xf>
    <xf numFmtId="2" fontId="0" fillId="4" borderId="83" xfId="0" applyNumberFormat="1" applyFont="1" applyFill="1" applyBorder="1" applyAlignment="1" applyProtection="1" quotePrefix="1">
      <alignment horizontal="right"/>
      <protection locked="0"/>
    </xf>
    <xf numFmtId="2" fontId="0" fillId="4" borderId="84" xfId="0" applyNumberFormat="1" applyFont="1" applyFill="1" applyBorder="1" applyAlignment="1" applyProtection="1" quotePrefix="1">
      <alignment horizontal="right"/>
      <protection locked="0"/>
    </xf>
    <xf numFmtId="2" fontId="0" fillId="4" borderId="85" xfId="0" applyNumberFormat="1" applyFont="1" applyFill="1" applyBorder="1" applyAlignment="1" applyProtection="1">
      <alignment horizontal="right"/>
      <protection locked="0"/>
    </xf>
    <xf numFmtId="2" fontId="0" fillId="4" borderId="86" xfId="0" applyNumberFormat="1" applyFont="1" applyFill="1" applyBorder="1" applyAlignment="1" applyProtection="1">
      <alignment horizontal="right"/>
      <protection locked="0"/>
    </xf>
    <xf numFmtId="2" fontId="0" fillId="3" borderId="84" xfId="0" applyNumberFormat="1" applyFont="1" applyFill="1" applyBorder="1" applyAlignment="1" applyProtection="1" quotePrefix="1">
      <alignment horizontal="right"/>
      <protection locked="0"/>
    </xf>
    <xf numFmtId="2" fontId="0" fillId="3" borderId="85" xfId="0" applyNumberFormat="1" applyFont="1" applyFill="1" applyBorder="1" applyAlignment="1" applyProtection="1">
      <alignment horizontal="right"/>
      <protection locked="0"/>
    </xf>
    <xf numFmtId="2" fontId="0" fillId="3" borderId="87" xfId="0" applyNumberFormat="1" applyFont="1" applyFill="1" applyBorder="1" applyAlignment="1" applyProtection="1">
      <alignment horizontal="right"/>
      <protection locked="0"/>
    </xf>
    <xf numFmtId="2" fontId="41" fillId="0" borderId="69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>
      <alignment horizontal="right"/>
      <protection/>
    </xf>
    <xf numFmtId="2" fontId="41" fillId="0" borderId="71" xfId="0" applyNumberFormat="1" applyFont="1" applyFill="1" applyBorder="1" applyAlignment="1" applyProtection="1">
      <alignment horizontal="right"/>
      <protection/>
    </xf>
    <xf numFmtId="2" fontId="41" fillId="0" borderId="73" xfId="0" applyNumberFormat="1" applyFont="1" applyFill="1" applyBorder="1" applyAlignment="1" applyProtection="1">
      <alignment horizontal="right"/>
      <protection/>
    </xf>
    <xf numFmtId="2" fontId="41" fillId="0" borderId="74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>
      <alignment horizontal="right"/>
      <protection/>
    </xf>
    <xf numFmtId="2" fontId="41" fillId="0" borderId="76" xfId="0" applyNumberFormat="1" applyFont="1" applyFill="1" applyBorder="1" applyAlignment="1" applyProtection="1">
      <alignment horizontal="right"/>
      <protection/>
    </xf>
    <xf numFmtId="2" fontId="41" fillId="0" borderId="78" xfId="0" applyNumberFormat="1" applyFont="1" applyFill="1" applyBorder="1" applyAlignment="1" applyProtection="1">
      <alignment horizontal="right"/>
      <protection/>
    </xf>
    <xf numFmtId="2" fontId="25" fillId="0" borderId="64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>
      <alignment horizontal="right"/>
      <protection/>
    </xf>
    <xf numFmtId="2" fontId="25" fillId="0" borderId="66" xfId="0" applyNumberFormat="1" applyFont="1" applyFill="1" applyBorder="1" applyAlignment="1" applyProtection="1">
      <alignment horizontal="right"/>
      <protection/>
    </xf>
    <xf numFmtId="2" fontId="25" fillId="0" borderId="6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Plots'!$B$34:$B$55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67448"/>
        <c:crosses val="autoZero"/>
        <c:auto val="0"/>
        <c:lblOffset val="100"/>
        <c:noMultiLvlLbl val="0"/>
      </c:catAx>
      <c:valAx>
        <c:axId val="3046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810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771577"/>
        <c:axId val="51944194"/>
      </c:lineChart>
      <c:catAx>
        <c:axId val="577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4194"/>
        <c:crosses val="autoZero"/>
        <c:auto val="0"/>
        <c:lblOffset val="100"/>
        <c:noMultiLvlLbl val="0"/>
      </c:catAx>
      <c:valAx>
        <c:axId val="5194419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77157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zoomScale="85" zoomScaleNormal="85" workbookViewId="0" topLeftCell="A2">
      <selection activeCell="A12" sqref="A12:H20"/>
    </sheetView>
  </sheetViews>
  <sheetFormatPr defaultColWidth="9.140625" defaultRowHeight="12.75"/>
  <cols>
    <col min="1" max="1" width="7.00390625" style="2" customWidth="1"/>
    <col min="2" max="8" width="5.28125" style="2" customWidth="1"/>
    <col min="9" max="28" width="3.421875" style="2" customWidth="1"/>
    <col min="29" max="16384" width="8.8515625" style="2" customWidth="1"/>
  </cols>
  <sheetData>
    <row r="1" s="31" customFormat="1" ht="15.75">
      <c r="A1" s="383" t="s">
        <v>0</v>
      </c>
    </row>
    <row r="2" s="17" customFormat="1" ht="12.75">
      <c r="A2" s="319"/>
    </row>
    <row r="3" spans="1:29" s="80" customFormat="1" ht="14.25">
      <c r="A3" s="308" t="s">
        <v>1</v>
      </c>
      <c r="B3" s="308"/>
      <c r="C3" s="308"/>
      <c r="D3" s="308"/>
      <c r="E3" s="308"/>
      <c r="F3" s="308"/>
      <c r="G3" s="308"/>
      <c r="H3" s="30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  <c r="Y3" s="10"/>
      <c r="Z3" s="10"/>
      <c r="AB3" s="2"/>
      <c r="AC3" s="2"/>
    </row>
    <row r="4" spans="1:29" s="30" customFormat="1" ht="14.25">
      <c r="A4" s="308" t="s">
        <v>2</v>
      </c>
      <c r="B4" s="308"/>
      <c r="C4" s="308"/>
      <c r="D4" s="308"/>
      <c r="E4" s="308"/>
      <c r="F4" s="308"/>
      <c r="G4" s="308"/>
      <c r="H4" s="308"/>
      <c r="I4" s="311"/>
      <c r="J4" s="308" t="s">
        <v>3</v>
      </c>
      <c r="K4" s="308"/>
      <c r="L4" s="308"/>
      <c r="M4" s="308"/>
      <c r="N4" s="308"/>
      <c r="O4" s="308"/>
      <c r="P4" s="312"/>
      <c r="Q4" s="312"/>
      <c r="R4" s="312"/>
      <c r="S4" s="312"/>
      <c r="T4" s="312"/>
      <c r="U4" s="312"/>
      <c r="V4" s="308"/>
      <c r="W4" s="308"/>
      <c r="X4" s="313"/>
      <c r="Y4" s="307"/>
      <c r="AB4" s="2"/>
      <c r="AC4" s="2"/>
    </row>
    <row r="5" spans="1:29" s="10" customFormat="1" ht="15">
      <c r="A5" s="308" t="s">
        <v>4</v>
      </c>
      <c r="B5" s="308"/>
      <c r="C5" s="308"/>
      <c r="D5" s="308"/>
      <c r="E5" s="308"/>
      <c r="F5" s="308"/>
      <c r="G5" s="308"/>
      <c r="H5" s="308"/>
      <c r="I5" s="309"/>
      <c r="J5" s="314" t="s">
        <v>5</v>
      </c>
      <c r="K5" s="309"/>
      <c r="L5" s="309"/>
      <c r="M5" s="309"/>
      <c r="N5" s="309"/>
      <c r="O5" s="309"/>
      <c r="P5" s="309"/>
      <c r="Q5" s="315"/>
      <c r="R5" s="309"/>
      <c r="S5" s="309"/>
      <c r="T5" s="309"/>
      <c r="U5" s="309"/>
      <c r="V5" s="309"/>
      <c r="W5" s="309"/>
      <c r="X5" s="310"/>
      <c r="AB5" s="2"/>
      <c r="AC5" s="2"/>
    </row>
    <row r="6" spans="1:29" s="17" customFormat="1" ht="13.5" thickBot="1">
      <c r="A6" s="102" t="s">
        <v>6</v>
      </c>
      <c r="B6" s="306">
        <v>1</v>
      </c>
      <c r="C6" s="306">
        <v>2</v>
      </c>
      <c r="D6" s="306">
        <v>3</v>
      </c>
      <c r="E6" s="306">
        <v>4</v>
      </c>
      <c r="F6" s="306">
        <v>5</v>
      </c>
      <c r="G6" s="306">
        <v>6</v>
      </c>
      <c r="H6" s="306">
        <v>7</v>
      </c>
      <c r="I6" s="28"/>
      <c r="J6" s="2"/>
      <c r="L6" s="2"/>
      <c r="M6" s="2"/>
      <c r="N6" s="2"/>
      <c r="O6" s="2"/>
      <c r="P6" s="80"/>
      <c r="Q6" s="2"/>
      <c r="R6">
        <f>IF(ISBLANK(B7),"",B7)</f>
      </c>
      <c r="S6">
        <f>IF(ISBLANK(C7),"",C7)</f>
      </c>
      <c r="T6">
        <f>IF(ISBLANK(E7),"",E7)</f>
      </c>
      <c r="U6">
        <f>IF(ISBLANK(H7),"",H7)</f>
      </c>
      <c r="V6" s="2"/>
      <c r="AB6" s="2"/>
      <c r="AC6" s="2"/>
    </row>
    <row r="7" spans="1:29" s="25" customFormat="1" ht="15.75" thickBot="1">
      <c r="A7" s="103" t="s">
        <v>7</v>
      </c>
      <c r="B7" s="132"/>
      <c r="C7" s="132"/>
      <c r="D7" s="464"/>
      <c r="E7" s="132"/>
      <c r="F7" s="464"/>
      <c r="G7" s="464"/>
      <c r="H7" s="133"/>
      <c r="I7" s="95"/>
      <c r="J7" s="2"/>
      <c r="L7" s="2"/>
      <c r="M7" s="2"/>
      <c r="N7" s="2"/>
      <c r="O7" s="2"/>
      <c r="P7" s="111"/>
      <c r="Q7" s="139" t="s">
        <v>9</v>
      </c>
      <c r="R7" s="115">
        <v>1</v>
      </c>
      <c r="S7" s="115">
        <v>1</v>
      </c>
      <c r="T7" s="115">
        <v>1</v>
      </c>
      <c r="U7" s="115">
        <v>1</v>
      </c>
      <c r="V7" s="2"/>
      <c r="AB7" s="2"/>
      <c r="AC7" s="2"/>
    </row>
    <row r="8" spans="1:29" s="25" customFormat="1" ht="12.75">
      <c r="A8" s="305" t="s">
        <v>10</v>
      </c>
      <c r="B8" s="104"/>
      <c r="C8" s="105"/>
      <c r="D8" s="465"/>
      <c r="E8" s="105"/>
      <c r="F8" s="465"/>
      <c r="G8" s="465"/>
      <c r="H8" s="106"/>
      <c r="J8" s="2"/>
      <c r="L8" s="2"/>
      <c r="M8" s="2"/>
      <c r="N8" s="2"/>
      <c r="O8" s="2"/>
      <c r="P8" s="112"/>
      <c r="Q8" s="139" t="s">
        <v>11</v>
      </c>
      <c r="R8" s="261">
        <f>IF(R7="","",IF(R7=1,'Experimental Plan'!B8,IF(R7=2,'Experimental Plan'!B9,"")))</f>
        <v>0</v>
      </c>
      <c r="S8" s="261">
        <f>IF(S7="","",IF(S7=1,'Experimental Plan'!C8,IF(S7=2,'Experimental Plan'!C9,"")))</f>
        <v>0</v>
      </c>
      <c r="T8" s="261">
        <f>IF(T7="","",IF(T7=1,'Experimental Plan'!E8,IF(T7=2,'Experimental Plan'!E9,"")))</f>
        <v>0</v>
      </c>
      <c r="U8" s="261">
        <f>IF(U7="","",IF(U7=1,'Experimental Plan'!H8,IF(U7=2,'Experimental Plan'!H9,"")))</f>
        <v>0</v>
      </c>
      <c r="V8" s="2"/>
      <c r="AB8" s="2"/>
      <c r="AC8" s="2"/>
    </row>
    <row r="9" spans="1:29" s="25" customFormat="1" ht="13.5" thickBot="1">
      <c r="A9" s="305" t="s">
        <v>12</v>
      </c>
      <c r="B9" s="107"/>
      <c r="C9" s="108"/>
      <c r="D9" s="466"/>
      <c r="E9" s="108"/>
      <c r="F9" s="466"/>
      <c r="G9" s="466"/>
      <c r="H9" s="109"/>
      <c r="R9" s="487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ht="13.5" thickBot="1"/>
    <row r="11" spans="1:28" s="101" customFormat="1" ht="13.5" thickBot="1">
      <c r="A11" s="98"/>
      <c r="B11" s="99"/>
      <c r="C11" s="99"/>
      <c r="D11" s="99"/>
      <c r="E11" s="99"/>
      <c r="F11" s="99"/>
      <c r="G11" s="99"/>
      <c r="H11" s="99"/>
      <c r="I11" s="450"/>
      <c r="J11" s="87"/>
      <c r="K11" s="87"/>
      <c r="L11" s="467"/>
      <c r="M11" s="100" t="s">
        <v>13</v>
      </c>
      <c r="N11" s="509">
        <v>57</v>
      </c>
      <c r="O11" s="86"/>
      <c r="P11" s="86"/>
      <c r="Q11" s="87"/>
      <c r="R11" s="88"/>
      <c r="S11" s="450"/>
      <c r="T11" s="87"/>
      <c r="U11" s="87"/>
      <c r="V11" s="87"/>
      <c r="W11" s="100" t="s">
        <v>14</v>
      </c>
      <c r="X11" s="509">
        <v>82</v>
      </c>
      <c r="Y11" s="91"/>
      <c r="Z11" s="91"/>
      <c r="AA11" s="87"/>
      <c r="AB11" s="88"/>
    </row>
    <row r="12" spans="1:28" ht="16.5" thickBot="1">
      <c r="A12" s="77" t="s">
        <v>15</v>
      </c>
      <c r="B12" s="325" t="str">
        <f>IF(ISBLANK('Experimental Plan'!B7),"c1",'Experimental Plan'!B7)</f>
        <v>c1</v>
      </c>
      <c r="C12" s="326" t="str">
        <f>IF(ISBLANK('Experimental Plan'!C7),"c2",'Experimental Plan'!C7)</f>
        <v>c2</v>
      </c>
      <c r="D12" s="326" t="str">
        <f>IF(ISBLANK('Experimental Plan'!D7),"c3",'Experimental Plan'!D7)</f>
        <v>c3</v>
      </c>
      <c r="E12" s="326" t="str">
        <f>IF(ISBLANK('Experimental Plan'!E7),"c4",'Experimental Plan'!E7)</f>
        <v>c4</v>
      </c>
      <c r="F12" s="326" t="str">
        <f>IF(ISBLANK('Experimental Plan'!F7),"c5",'Experimental Plan'!F7)</f>
        <v>c5</v>
      </c>
      <c r="G12" s="326" t="str">
        <f>IF(ISBLANK('Experimental Plan'!G7),"c6",'Experimental Plan'!G7)</f>
        <v>c6</v>
      </c>
      <c r="H12" s="327" t="str">
        <f>IF(ISBLANK('Experimental Plan'!H7),"c7",'Experimental Plan'!H7)</f>
        <v>c7</v>
      </c>
      <c r="I12" s="36" t="s">
        <v>16</v>
      </c>
      <c r="J12" s="37"/>
      <c r="K12" s="37"/>
      <c r="L12" s="370"/>
      <c r="M12" s="76"/>
      <c r="N12" s="38" t="s">
        <v>17</v>
      </c>
      <c r="O12" s="37"/>
      <c r="P12" s="37"/>
      <c r="Q12" s="370"/>
      <c r="R12" s="39"/>
      <c r="S12" s="36" t="s">
        <v>16</v>
      </c>
      <c r="T12" s="37"/>
      <c r="U12" s="37"/>
      <c r="V12" s="370"/>
      <c r="W12" s="76"/>
      <c r="X12" s="38" t="s">
        <v>17</v>
      </c>
      <c r="Y12" s="37"/>
      <c r="Z12" s="37"/>
      <c r="AA12" s="370"/>
      <c r="AB12" s="39"/>
    </row>
    <row r="13" spans="1:28" ht="12.75">
      <c r="A13" s="4">
        <v>1</v>
      </c>
      <c r="B13" s="54" t="str">
        <f>IF(ISBLANK('Experimental Plan'!B$8),"1",'Experimental Plan'!B$8)</f>
        <v>1</v>
      </c>
      <c r="C13" s="55" t="str">
        <f>IF(ISBLANK('Experimental Plan'!C$8),"1",'Experimental Plan'!C$8)</f>
        <v>1</v>
      </c>
      <c r="D13" s="55" t="str">
        <f>IF(ISBLANK('Experimental Plan'!D$8),"1",'Experimental Plan'!D$8)</f>
        <v>1</v>
      </c>
      <c r="E13" s="55" t="str">
        <f>IF(ISBLANK('Experimental Plan'!E$8),"1",'Experimental Plan'!E$8)</f>
        <v>1</v>
      </c>
      <c r="F13" s="55" t="str">
        <f>IF(ISBLANK('Experimental Plan'!F$8),"1",'Experimental Plan'!F$8)</f>
        <v>1</v>
      </c>
      <c r="G13" s="55" t="str">
        <f>IF(ISBLANK('Experimental Plan'!G$8),"1",'Experimental Plan'!G$8)</f>
        <v>1</v>
      </c>
      <c r="H13" s="56" t="str">
        <f>IF(ISBLANK('Experimental Plan'!H$8),"1",'Experimental Plan'!H$8)</f>
        <v>1</v>
      </c>
      <c r="I13" s="468">
        <v>1.2</v>
      </c>
      <c r="J13" s="469"/>
      <c r="K13" s="469"/>
      <c r="L13" s="470"/>
      <c r="M13" s="471"/>
      <c r="N13" s="472"/>
      <c r="O13" s="469"/>
      <c r="P13" s="469"/>
      <c r="Q13" s="470"/>
      <c r="R13" s="473"/>
      <c r="S13" s="468"/>
      <c r="T13" s="469"/>
      <c r="U13" s="469"/>
      <c r="V13" s="470"/>
      <c r="W13" s="471"/>
      <c r="X13" s="472"/>
      <c r="Y13" s="469"/>
      <c r="Z13" s="469"/>
      <c r="AA13" s="470"/>
      <c r="AB13" s="473"/>
    </row>
    <row r="14" spans="1:28" ht="12.75">
      <c r="A14" s="4">
        <v>2</v>
      </c>
      <c r="B14" s="57" t="str">
        <f>IF(ISBLANK('Experimental Plan'!B$8),"1",'Experimental Plan'!B$8)</f>
        <v>1</v>
      </c>
      <c r="C14" s="58" t="str">
        <f>IF(ISBLANK('Experimental Plan'!C$8),"1",'Experimental Plan'!C$8)</f>
        <v>1</v>
      </c>
      <c r="D14" s="58" t="str">
        <f>IF(ISBLANK('Experimental Plan'!D$8),"1",'Experimental Plan'!D$8)</f>
        <v>1</v>
      </c>
      <c r="E14" s="58" t="str">
        <f>IF(ISBLANK('Experimental Plan'!E$9),"2",'Experimental Plan'!E$9)</f>
        <v>2</v>
      </c>
      <c r="F14" s="58" t="str">
        <f>IF(ISBLANK('Experimental Plan'!F$9),"2",'Experimental Plan'!F$9)</f>
        <v>2</v>
      </c>
      <c r="G14" s="58" t="str">
        <f>IF(ISBLANK('Experimental Plan'!G$9),"2",'Experimental Plan'!G$9)</f>
        <v>2</v>
      </c>
      <c r="H14" s="59" t="str">
        <f>IF(ISBLANK('Experimental Plan'!H$9),"2",'Experimental Plan'!H$9)</f>
        <v>2</v>
      </c>
      <c r="I14" s="474">
        <v>1.7</v>
      </c>
      <c r="J14" s="475"/>
      <c r="K14" s="475"/>
      <c r="L14" s="476"/>
      <c r="M14" s="477"/>
      <c r="N14" s="478"/>
      <c r="O14" s="475"/>
      <c r="P14" s="475"/>
      <c r="Q14" s="476"/>
      <c r="R14" s="479"/>
      <c r="S14" s="474"/>
      <c r="T14" s="475"/>
      <c r="U14" s="475"/>
      <c r="V14" s="476"/>
      <c r="W14" s="477"/>
      <c r="X14" s="478"/>
      <c r="Y14" s="475"/>
      <c r="Z14" s="475"/>
      <c r="AA14" s="476"/>
      <c r="AB14" s="479"/>
    </row>
    <row r="15" spans="1:28" ht="12.75">
      <c r="A15" s="4">
        <v>3</v>
      </c>
      <c r="B15" s="57" t="str">
        <f>IF(ISBLANK('Experimental Plan'!B$8),"1",'Experimental Plan'!B$8)</f>
        <v>1</v>
      </c>
      <c r="C15" s="58" t="str">
        <f>IF(ISBLANK('Experimental Plan'!C$9),"2",'Experimental Plan'!C$9)</f>
        <v>2</v>
      </c>
      <c r="D15" s="58" t="str">
        <f>IF(ISBLANK('Experimental Plan'!D$9),"2",'Experimental Plan'!D$9)</f>
        <v>2</v>
      </c>
      <c r="E15" s="58" t="str">
        <f>IF(ISBLANK('Experimental Plan'!E$8),"1",'Experimental Plan'!E$8)</f>
        <v>1</v>
      </c>
      <c r="F15" s="58" t="str">
        <f>IF(ISBLANK('Experimental Plan'!F$8),"1",'Experimental Plan'!F$8)</f>
        <v>1</v>
      </c>
      <c r="G15" s="58" t="str">
        <f>IF(ISBLANK('Experimental Plan'!G$9),"2",'Experimental Plan'!G$9)</f>
        <v>2</v>
      </c>
      <c r="H15" s="59" t="str">
        <f>IF(ISBLANK('Experimental Plan'!H$9),"2",'Experimental Plan'!H$9)</f>
        <v>2</v>
      </c>
      <c r="I15" s="474">
        <v>2.1</v>
      </c>
      <c r="J15" s="475"/>
      <c r="K15" s="475"/>
      <c r="L15" s="476"/>
      <c r="M15" s="477"/>
      <c r="N15" s="478"/>
      <c r="O15" s="475"/>
      <c r="P15" s="475"/>
      <c r="Q15" s="476"/>
      <c r="R15" s="479"/>
      <c r="S15" s="474"/>
      <c r="T15" s="475"/>
      <c r="U15" s="475"/>
      <c r="V15" s="476"/>
      <c r="W15" s="477"/>
      <c r="X15" s="478"/>
      <c r="Y15" s="475"/>
      <c r="Z15" s="475"/>
      <c r="AA15" s="476"/>
      <c r="AB15" s="479"/>
    </row>
    <row r="16" spans="1:28" ht="12.75">
      <c r="A16" s="4">
        <v>4</v>
      </c>
      <c r="B16" s="57" t="str">
        <f>IF(ISBLANK('Experimental Plan'!B$8),"1",'Experimental Plan'!B$8)</f>
        <v>1</v>
      </c>
      <c r="C16" s="58" t="str">
        <f>IF(ISBLANK('Experimental Plan'!C$9),"2",'Experimental Plan'!C$9)</f>
        <v>2</v>
      </c>
      <c r="D16" s="58" t="str">
        <f>IF(ISBLANK('Experimental Plan'!D$9),"2",'Experimental Plan'!D$9)</f>
        <v>2</v>
      </c>
      <c r="E16" s="58" t="str">
        <f>IF(ISBLANK('Experimental Plan'!E$9),"2",'Experimental Plan'!E$9)</f>
        <v>2</v>
      </c>
      <c r="F16" s="58" t="str">
        <f>IF(ISBLANK('Experimental Plan'!F$9),"2",'Experimental Plan'!F$9)</f>
        <v>2</v>
      </c>
      <c r="G16" s="58" t="str">
        <f>IF(ISBLANK('Experimental Plan'!G$8),"1",'Experimental Plan'!G$8)</f>
        <v>1</v>
      </c>
      <c r="H16" s="59" t="str">
        <f>IF(ISBLANK('Experimental Plan'!H$8),"1",'Experimental Plan'!H$8)</f>
        <v>1</v>
      </c>
      <c r="I16" s="474">
        <v>2.6</v>
      </c>
      <c r="J16" s="475"/>
      <c r="K16" s="475"/>
      <c r="L16" s="476"/>
      <c r="M16" s="477"/>
      <c r="N16" s="478"/>
      <c r="O16" s="475"/>
      <c r="P16" s="475"/>
      <c r="Q16" s="476"/>
      <c r="R16" s="479"/>
      <c r="S16" s="474"/>
      <c r="T16" s="475"/>
      <c r="U16" s="475"/>
      <c r="V16" s="476"/>
      <c r="W16" s="477"/>
      <c r="X16" s="478"/>
      <c r="Y16" s="475"/>
      <c r="Z16" s="475"/>
      <c r="AA16" s="476"/>
      <c r="AB16" s="479"/>
    </row>
    <row r="17" spans="1:28" ht="12.75">
      <c r="A17" s="4">
        <v>5</v>
      </c>
      <c r="B17" s="57" t="str">
        <f>IF(ISBLANK('Experimental Plan'!B$9),"2",'Experimental Plan'!B$9)</f>
        <v>2</v>
      </c>
      <c r="C17" s="58" t="str">
        <f>IF(ISBLANK('Experimental Plan'!C$8),"1",'Experimental Plan'!C$8)</f>
        <v>1</v>
      </c>
      <c r="D17" s="58" t="str">
        <f>IF(ISBLANK('Experimental Plan'!D$9),"2",'Experimental Plan'!D$9)</f>
        <v>2</v>
      </c>
      <c r="E17" s="58" t="str">
        <f>IF(ISBLANK('Experimental Plan'!E$8),"1",'Experimental Plan'!E$8)</f>
        <v>1</v>
      </c>
      <c r="F17" s="58" t="str">
        <f>IF(ISBLANK('Experimental Plan'!F$9),"2",'Experimental Plan'!F$9)</f>
        <v>2</v>
      </c>
      <c r="G17" s="58" t="str">
        <f>IF(ISBLANK('Experimental Plan'!G$8),"1",'Experimental Plan'!G$8)</f>
        <v>1</v>
      </c>
      <c r="H17" s="59" t="str">
        <f>IF(ISBLANK('Experimental Plan'!H$9),"2",'Experimental Plan'!H$9)</f>
        <v>2</v>
      </c>
      <c r="I17" s="474">
        <v>4.9</v>
      </c>
      <c r="J17" s="475"/>
      <c r="K17" s="475"/>
      <c r="L17" s="476"/>
      <c r="M17" s="477"/>
      <c r="N17" s="478"/>
      <c r="O17" s="475"/>
      <c r="P17" s="475"/>
      <c r="Q17" s="476"/>
      <c r="R17" s="479"/>
      <c r="S17" s="474"/>
      <c r="T17" s="475"/>
      <c r="U17" s="475"/>
      <c r="V17" s="476"/>
      <c r="W17" s="477"/>
      <c r="X17" s="478"/>
      <c r="Y17" s="475"/>
      <c r="Z17" s="475"/>
      <c r="AA17" s="476"/>
      <c r="AB17" s="479"/>
    </row>
    <row r="18" spans="1:28" ht="12.75">
      <c r="A18" s="4">
        <v>6</v>
      </c>
      <c r="B18" s="57" t="str">
        <f>IF(ISBLANK('Experimental Plan'!B$9),"2",'Experimental Plan'!B$9)</f>
        <v>2</v>
      </c>
      <c r="C18" s="58" t="str">
        <f>IF(ISBLANK('Experimental Plan'!C$8),"1",'Experimental Plan'!C$8)</f>
        <v>1</v>
      </c>
      <c r="D18" s="58" t="str">
        <f>IF(ISBLANK('Experimental Plan'!D$9),"2",'Experimental Plan'!D$9)</f>
        <v>2</v>
      </c>
      <c r="E18" s="58" t="str">
        <f>IF(ISBLANK('Experimental Plan'!E$9),"2",'Experimental Plan'!E$9)</f>
        <v>2</v>
      </c>
      <c r="F18" s="58" t="str">
        <f>IF(ISBLANK('Experimental Plan'!F$8),"1",'Experimental Plan'!F$8)</f>
        <v>1</v>
      </c>
      <c r="G18" s="58" t="str">
        <f>IF(ISBLANK('Experimental Plan'!G$9),"2",'Experimental Plan'!G$9)</f>
        <v>2</v>
      </c>
      <c r="H18" s="59" t="str">
        <f>IF(ISBLANK('Experimental Plan'!H$8),"1",'Experimental Plan'!H$8)</f>
        <v>1</v>
      </c>
      <c r="I18" s="474">
        <v>3.9</v>
      </c>
      <c r="J18" s="475"/>
      <c r="K18" s="475"/>
      <c r="L18" s="476"/>
      <c r="M18" s="477"/>
      <c r="N18" s="478"/>
      <c r="O18" s="475"/>
      <c r="P18" s="475"/>
      <c r="Q18" s="476"/>
      <c r="R18" s="479"/>
      <c r="S18" s="474"/>
      <c r="T18" s="475"/>
      <c r="U18" s="475"/>
      <c r="V18" s="476"/>
      <c r="W18" s="477"/>
      <c r="X18" s="478"/>
      <c r="Y18" s="475"/>
      <c r="Z18" s="475"/>
      <c r="AA18" s="476"/>
      <c r="AB18" s="479"/>
    </row>
    <row r="19" spans="1:28" ht="12.75">
      <c r="A19" s="4">
        <v>7</v>
      </c>
      <c r="B19" s="57" t="str">
        <f>IF(ISBLANK('Experimental Plan'!B$9),"2",'Experimental Plan'!B$9)</f>
        <v>2</v>
      </c>
      <c r="C19" s="58" t="str">
        <f>IF(ISBLANK('Experimental Plan'!C$9),"2",'Experimental Plan'!C$9)</f>
        <v>2</v>
      </c>
      <c r="D19" s="58" t="str">
        <f>IF(ISBLANK('Experimental Plan'!D$8),"1",'Experimental Plan'!D$8)</f>
        <v>1</v>
      </c>
      <c r="E19" s="58" t="str">
        <f>IF(ISBLANK('Experimental Plan'!E$8),"1",'Experimental Plan'!E$8)</f>
        <v>1</v>
      </c>
      <c r="F19" s="58" t="str">
        <f>IF(ISBLANK('Experimental Plan'!F$9),"2",'Experimental Plan'!F$9)</f>
        <v>2</v>
      </c>
      <c r="G19" s="58" t="str">
        <f>IF(ISBLANK('Experimental Plan'!G$9),"2",'Experimental Plan'!G$9)</f>
        <v>2</v>
      </c>
      <c r="H19" s="59" t="str">
        <f>IF(ISBLANK('Experimental Plan'!H$8),"1",'Experimental Plan'!H$8)</f>
        <v>1</v>
      </c>
      <c r="I19" s="474">
        <v>0.9</v>
      </c>
      <c r="J19" s="475"/>
      <c r="K19" s="475"/>
      <c r="L19" s="476"/>
      <c r="M19" s="477"/>
      <c r="N19" s="478"/>
      <c r="O19" s="475"/>
      <c r="P19" s="475"/>
      <c r="Q19" s="476"/>
      <c r="R19" s="479"/>
      <c r="S19" s="474"/>
      <c r="T19" s="475"/>
      <c r="U19" s="475"/>
      <c r="V19" s="476"/>
      <c r="W19" s="477"/>
      <c r="X19" s="478"/>
      <c r="Y19" s="475"/>
      <c r="Z19" s="475"/>
      <c r="AA19" s="476"/>
      <c r="AB19" s="479"/>
    </row>
    <row r="20" spans="1:28" ht="13.5" thickBot="1">
      <c r="A20" s="29">
        <v>8</v>
      </c>
      <c r="B20" s="60" t="str">
        <f>IF(ISBLANK('Experimental Plan'!B$9),"2",'Experimental Plan'!B$9)</f>
        <v>2</v>
      </c>
      <c r="C20" s="61" t="str">
        <f>IF(ISBLANK('Experimental Plan'!C$9),"2",'Experimental Plan'!C$9)</f>
        <v>2</v>
      </c>
      <c r="D20" s="61" t="str">
        <f>IF(ISBLANK('Experimental Plan'!D$8),"1",'Experimental Plan'!D$8)</f>
        <v>1</v>
      </c>
      <c r="E20" s="61" t="str">
        <f>IF(ISBLANK('Experimental Plan'!E$9),"2",'Experimental Plan'!E$9)</f>
        <v>2</v>
      </c>
      <c r="F20" s="61" t="str">
        <f>IF(ISBLANK('Experimental Plan'!F$8),"1",'Experimental Plan'!F$8)</f>
        <v>1</v>
      </c>
      <c r="G20" s="61" t="str">
        <f>IF(ISBLANK('Experimental Plan'!G$8),"1",'Experimental Plan'!G$8)</f>
        <v>1</v>
      </c>
      <c r="H20" s="62" t="str">
        <f>IF(ISBLANK('Experimental Plan'!H$9),"2",'Experimental Plan'!H$9)</f>
        <v>2</v>
      </c>
      <c r="I20" s="480">
        <v>1.1</v>
      </c>
      <c r="J20" s="481"/>
      <c r="K20" s="481"/>
      <c r="L20" s="482"/>
      <c r="M20" s="483"/>
      <c r="N20" s="484"/>
      <c r="O20" s="481"/>
      <c r="P20" s="481"/>
      <c r="Q20" s="482"/>
      <c r="R20" s="485"/>
      <c r="S20" s="480"/>
      <c r="T20" s="481"/>
      <c r="U20" s="481"/>
      <c r="V20" s="482"/>
      <c r="W20" s="483"/>
      <c r="X20" s="484"/>
      <c r="Y20" s="481"/>
      <c r="Z20" s="481"/>
      <c r="AA20" s="482"/>
      <c r="AB20" s="48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zoomScale="85" zoomScaleNormal="85" workbookViewId="0" topLeftCell="A1">
      <selection activeCell="R15" sqref="R15"/>
    </sheetView>
  </sheetViews>
  <sheetFormatPr defaultColWidth="9.140625" defaultRowHeight="12.75"/>
  <cols>
    <col min="1" max="1" width="4.421875" style="2" customWidth="1"/>
    <col min="2" max="6" width="2.7109375" style="2" customWidth="1"/>
    <col min="7" max="7" width="2.28125" style="2" customWidth="1"/>
    <col min="8" max="8" width="2.7109375" style="2" customWidth="1"/>
    <col min="9" max="28" width="5.00390625" style="2" customWidth="1"/>
    <col min="29" max="31" width="4.28125" style="2" customWidth="1"/>
    <col min="32" max="16384" width="8.8515625" style="2" customWidth="1"/>
  </cols>
  <sheetData>
    <row r="1" s="8" customFormat="1" ht="15.75">
      <c r="A1" s="383" t="s">
        <v>0</v>
      </c>
    </row>
    <row r="2" spans="1:17" ht="15.7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2" ht="13.5" thickBot="1">
      <c r="C3" s="1"/>
      <c r="F3" s="1"/>
      <c r="G3" s="1"/>
      <c r="H3" s="22"/>
      <c r="L3" s="21"/>
    </row>
    <row r="4" spans="1:28" ht="13.5" thickBot="1">
      <c r="A4" s="19"/>
      <c r="C4" s="1"/>
      <c r="E4" s="20"/>
      <c r="F4" s="1"/>
      <c r="G4" s="1"/>
      <c r="H4" s="22"/>
      <c r="I4" s="369"/>
      <c r="J4" s="26"/>
      <c r="K4" s="26"/>
      <c r="L4" s="18"/>
      <c r="M4" s="83" t="s">
        <v>13</v>
      </c>
      <c r="N4" s="82">
        <f>IF(ISBLANK('Experimental Plan'!N11),"",'Experimental Plan'!N11)</f>
        <v>57</v>
      </c>
      <c r="O4" s="33"/>
      <c r="P4" s="33"/>
      <c r="Q4" s="26"/>
      <c r="R4" s="27"/>
      <c r="S4" s="369"/>
      <c r="T4" s="26"/>
      <c r="U4" s="26"/>
      <c r="V4" s="26"/>
      <c r="W4" s="83" t="s">
        <v>14</v>
      </c>
      <c r="X4" s="82">
        <f>IF(ISBLANK('Experimental Plan'!X11),"",'Experimental Plan'!X11)</f>
        <v>82</v>
      </c>
      <c r="Y4" s="35"/>
      <c r="Z4" s="35"/>
      <c r="AA4" s="26"/>
      <c r="AB4" s="27"/>
    </row>
    <row r="5" spans="1:31" ht="16.5" thickBot="1">
      <c r="A5" s="77" t="s">
        <v>15</v>
      </c>
      <c r="B5" s="52" t="str">
        <f>'Experimental Plan'!B12</f>
        <v>c1</v>
      </c>
      <c r="C5" s="53" t="str">
        <f>'Experimental Plan'!C12</f>
        <v>c2</v>
      </c>
      <c r="D5" s="324" t="str">
        <f>'Experimental Plan'!D12</f>
        <v>c3</v>
      </c>
      <c r="E5" s="53" t="str">
        <f>'Experimental Plan'!E12</f>
        <v>c4</v>
      </c>
      <c r="F5" s="324" t="str">
        <f>'Experimental Plan'!F12</f>
        <v>c5</v>
      </c>
      <c r="G5" s="324" t="str">
        <f>'Experimental Plan'!G12</f>
        <v>c6</v>
      </c>
      <c r="H5" s="53" t="str">
        <f>'Experimental Plan'!H12</f>
        <v>c7</v>
      </c>
      <c r="I5" s="36" t="s">
        <v>16</v>
      </c>
      <c r="J5" s="37"/>
      <c r="K5" s="37"/>
      <c r="L5" s="370"/>
      <c r="M5" s="76"/>
      <c r="N5" s="37" t="s">
        <v>17</v>
      </c>
      <c r="O5" s="37"/>
      <c r="P5" s="37"/>
      <c r="Q5" s="370"/>
      <c r="R5" s="39"/>
      <c r="S5" s="36" t="s">
        <v>16</v>
      </c>
      <c r="T5" s="37"/>
      <c r="U5" s="37"/>
      <c r="V5" s="370"/>
      <c r="W5" s="76"/>
      <c r="X5" s="37" t="s">
        <v>17</v>
      </c>
      <c r="Y5" s="37"/>
      <c r="Z5" s="37"/>
      <c r="AA5" s="370"/>
      <c r="AB5" s="39"/>
      <c r="AC5" s="23" t="s">
        <v>18</v>
      </c>
      <c r="AD5" s="24" t="s">
        <v>19</v>
      </c>
      <c r="AE5" s="16" t="s">
        <v>20</v>
      </c>
    </row>
    <row r="6" spans="1:31" ht="12.75">
      <c r="A6" s="92">
        <v>1</v>
      </c>
      <c r="B6" s="63" t="str">
        <f>IF(ISBLANK('Experimental Plan'!B$8),"1",'Experimental Plan'!B$8)</f>
        <v>1</v>
      </c>
      <c r="C6" s="64" t="str">
        <f>IF(ISBLANK('Experimental Plan'!C$8),"1",'Experimental Plan'!C$8)</f>
        <v>1</v>
      </c>
      <c r="D6" s="328" t="str">
        <f>IF(ISBLANK('Experimental Plan'!D$8),"1",'Experimental Plan'!D$8)</f>
        <v>1</v>
      </c>
      <c r="E6" s="64" t="str">
        <f>IF(ISBLANK('Experimental Plan'!E$8),"1",'Experimental Plan'!E$8)</f>
        <v>1</v>
      </c>
      <c r="F6" s="328" t="str">
        <f>IF(ISBLANK('Experimental Plan'!F$8),"1",'Experimental Plan'!F$8)</f>
        <v>1</v>
      </c>
      <c r="G6" s="328" t="str">
        <f>IF(ISBLANK('Experimental Plan'!G$8),"1",'Experimental Plan'!G$8)</f>
        <v>1</v>
      </c>
      <c r="H6" s="65" t="str">
        <f>IF(ISBLANK('Experimental Plan'!H$8),"1",'Experimental Plan'!H$8)</f>
        <v>1</v>
      </c>
      <c r="I6" s="510">
        <v>1.23</v>
      </c>
      <c r="J6" s="511">
        <v>1.4</v>
      </c>
      <c r="K6" s="511">
        <v>1.3</v>
      </c>
      <c r="L6" s="512">
        <v>1.41</v>
      </c>
      <c r="M6" s="513">
        <v>1.46</v>
      </c>
      <c r="N6" s="514">
        <v>1.11</v>
      </c>
      <c r="O6" s="514">
        <v>1.08</v>
      </c>
      <c r="P6" s="514">
        <v>1.16</v>
      </c>
      <c r="Q6" s="515">
        <v>1.19</v>
      </c>
      <c r="R6" s="516">
        <v>1.22</v>
      </c>
      <c r="S6" s="514">
        <v>2.24</v>
      </c>
      <c r="T6" s="514">
        <v>1.98</v>
      </c>
      <c r="U6" s="514">
        <v>2.34</v>
      </c>
      <c r="V6" s="515">
        <v>2.06</v>
      </c>
      <c r="W6" s="516">
        <v>2.22</v>
      </c>
      <c r="X6" s="514">
        <v>1.8</v>
      </c>
      <c r="Y6" s="514">
        <v>1.89</v>
      </c>
      <c r="Z6" s="514">
        <v>1.85</v>
      </c>
      <c r="AA6" s="515">
        <v>1.92</v>
      </c>
      <c r="AB6" s="516">
        <v>1.88</v>
      </c>
      <c r="AC6" s="461"/>
      <c r="AD6" s="461"/>
      <c r="AE6" s="461"/>
    </row>
    <row r="7" spans="1:31" ht="12.75">
      <c r="A7" s="92">
        <v>2</v>
      </c>
      <c r="B7" s="66" t="str">
        <f>IF(ISBLANK('Experimental Plan'!B$8),"1",'Experimental Plan'!B$8)</f>
        <v>1</v>
      </c>
      <c r="C7" s="67" t="str">
        <f>IF(ISBLANK('Experimental Plan'!C$8),"1",'Experimental Plan'!C$8)</f>
        <v>1</v>
      </c>
      <c r="D7" s="329" t="str">
        <f>IF(ISBLANK('Experimental Plan'!D$8),"1",'Experimental Plan'!D$8)</f>
        <v>1</v>
      </c>
      <c r="E7" s="67" t="str">
        <f>IF(ISBLANK('Experimental Plan'!E$9),"2",'Experimental Plan'!E$9)</f>
        <v>2</v>
      </c>
      <c r="F7" s="329" t="str">
        <f>IF(ISBLANK('Experimental Plan'!F$9),"2",'Experimental Plan'!F$9)</f>
        <v>2</v>
      </c>
      <c r="G7" s="329" t="str">
        <f>IF(ISBLANK('Experimental Plan'!G$9),"2",'Experimental Plan'!G$9)</f>
        <v>2</v>
      </c>
      <c r="H7" s="68" t="str">
        <f>IF(ISBLANK('Experimental Plan'!H$9),"2",'Experimental Plan'!H$9)</f>
        <v>2</v>
      </c>
      <c r="I7" s="517">
        <v>1.36</v>
      </c>
      <c r="J7" s="518">
        <v>1.3</v>
      </c>
      <c r="K7" s="518">
        <v>1.41</v>
      </c>
      <c r="L7" s="519">
        <v>1.42</v>
      </c>
      <c r="M7" s="520">
        <v>1.41</v>
      </c>
      <c r="N7" s="521">
        <v>1.14</v>
      </c>
      <c r="O7" s="521">
        <v>1.18</v>
      </c>
      <c r="P7" s="521">
        <v>1.28</v>
      </c>
      <c r="Q7" s="522">
        <v>1.19</v>
      </c>
      <c r="R7" s="523">
        <v>1.28</v>
      </c>
      <c r="S7" s="517">
        <v>1.72</v>
      </c>
      <c r="T7" s="518">
        <v>1.79</v>
      </c>
      <c r="U7" s="518">
        <v>1.86</v>
      </c>
      <c r="V7" s="519">
        <v>1.82</v>
      </c>
      <c r="W7" s="520">
        <v>1.95</v>
      </c>
      <c r="X7" s="521">
        <v>1.64</v>
      </c>
      <c r="Y7" s="521">
        <v>1.57</v>
      </c>
      <c r="Z7" s="521">
        <v>1.61</v>
      </c>
      <c r="AA7" s="522">
        <v>1.71</v>
      </c>
      <c r="AB7" s="523">
        <v>1.71</v>
      </c>
      <c r="AC7" s="462"/>
      <c r="AD7" s="462"/>
      <c r="AE7" s="462"/>
    </row>
    <row r="8" spans="1:31" ht="12.75">
      <c r="A8" s="92">
        <v>3</v>
      </c>
      <c r="B8" s="66" t="str">
        <f>IF(ISBLANK('Experimental Plan'!B$8),"1",'Experimental Plan'!B$8)</f>
        <v>1</v>
      </c>
      <c r="C8" s="67" t="str">
        <f>IF(ISBLANK('Experimental Plan'!C$9),"2",'Experimental Plan'!C$9)</f>
        <v>2</v>
      </c>
      <c r="D8" s="329" t="str">
        <f>IF(ISBLANK('Experimental Plan'!D$9),"2",'Experimental Plan'!D$9)</f>
        <v>2</v>
      </c>
      <c r="E8" s="67" t="str">
        <f>IF(ISBLANK('Experimental Plan'!E$8),"1",'Experimental Plan'!E$8)</f>
        <v>1</v>
      </c>
      <c r="F8" s="329" t="str">
        <f>IF(ISBLANK('Experimental Plan'!F$8),"1",'Experimental Plan'!F$8)</f>
        <v>1</v>
      </c>
      <c r="G8" s="329" t="str">
        <f>IF(ISBLANK('Experimental Plan'!G$9),"2",'Experimental Plan'!G$9)</f>
        <v>2</v>
      </c>
      <c r="H8" s="68" t="str">
        <f>IF(ISBLANK('Experimental Plan'!H$9),"2",'Experimental Plan'!H$9)</f>
        <v>2</v>
      </c>
      <c r="I8" s="517">
        <v>1.39</v>
      </c>
      <c r="J8" s="518">
        <v>1.34</v>
      </c>
      <c r="K8" s="518">
        <v>1.41</v>
      </c>
      <c r="L8" s="519">
        <v>1.44</v>
      </c>
      <c r="M8" s="520">
        <v>1.4</v>
      </c>
      <c r="N8" s="521">
        <v>1.23</v>
      </c>
      <c r="O8" s="521">
        <v>1.24</v>
      </c>
      <c r="P8" s="521">
        <v>1.2</v>
      </c>
      <c r="Q8" s="522">
        <v>1.32</v>
      </c>
      <c r="R8" s="523">
        <v>1.28</v>
      </c>
      <c r="S8" s="517">
        <v>1.93</v>
      </c>
      <c r="T8" s="518">
        <v>1.9</v>
      </c>
      <c r="U8" s="518">
        <v>1.97</v>
      </c>
      <c r="V8" s="519">
        <v>1.81</v>
      </c>
      <c r="W8" s="520">
        <v>1.87</v>
      </c>
      <c r="X8" s="521">
        <v>1.71</v>
      </c>
      <c r="Y8" s="521">
        <v>1.74</v>
      </c>
      <c r="Z8" s="521">
        <v>1.61</v>
      </c>
      <c r="AA8" s="522">
        <v>1.74</v>
      </c>
      <c r="AB8" s="523">
        <v>1.73</v>
      </c>
      <c r="AC8" s="462"/>
      <c r="AD8" s="462"/>
      <c r="AE8" s="462"/>
    </row>
    <row r="9" spans="1:31" ht="12.75">
      <c r="A9" s="92">
        <v>4</v>
      </c>
      <c r="B9" s="66" t="str">
        <f>IF(ISBLANK('Experimental Plan'!B$8),"1",'Experimental Plan'!B$8)</f>
        <v>1</v>
      </c>
      <c r="C9" s="67" t="str">
        <f>IF(ISBLANK('Experimental Plan'!C$9),"2",'Experimental Plan'!C$9)</f>
        <v>2</v>
      </c>
      <c r="D9" s="329" t="str">
        <f>IF(ISBLANK('Experimental Plan'!D$9),"2",'Experimental Plan'!D$9)</f>
        <v>2</v>
      </c>
      <c r="E9" s="67" t="str">
        <f>IF(ISBLANK('Experimental Plan'!E$9),"2",'Experimental Plan'!E$9)</f>
        <v>2</v>
      </c>
      <c r="F9" s="329" t="str">
        <f>IF(ISBLANK('Experimental Plan'!F$9),"2",'Experimental Plan'!F$9)</f>
        <v>2</v>
      </c>
      <c r="G9" s="329" t="str">
        <f>IF(ISBLANK('Experimental Plan'!G$8),"1",'Experimental Plan'!G$8)</f>
        <v>1</v>
      </c>
      <c r="H9" s="68" t="str">
        <f>IF(ISBLANK('Experimental Plan'!H$8),"1",'Experimental Plan'!H$8)</f>
        <v>1</v>
      </c>
      <c r="I9" s="517">
        <v>1.19</v>
      </c>
      <c r="J9" s="518">
        <v>1.24</v>
      </c>
      <c r="K9" s="518">
        <v>1.23</v>
      </c>
      <c r="L9" s="519">
        <v>1.17</v>
      </c>
      <c r="M9" s="520">
        <v>1.09</v>
      </c>
      <c r="N9" s="521">
        <v>1.03</v>
      </c>
      <c r="O9" s="521">
        <v>1.08</v>
      </c>
      <c r="P9" s="521">
        <v>1.15</v>
      </c>
      <c r="Q9" s="522">
        <v>1.1</v>
      </c>
      <c r="R9" s="523">
        <v>1.08</v>
      </c>
      <c r="S9" s="517">
        <v>1.57</v>
      </c>
      <c r="T9" s="518">
        <v>1.56</v>
      </c>
      <c r="U9" s="518">
        <v>1.6</v>
      </c>
      <c r="V9" s="519">
        <v>1.56</v>
      </c>
      <c r="W9" s="520">
        <v>1.66</v>
      </c>
      <c r="X9" s="521">
        <v>1.46</v>
      </c>
      <c r="Y9" s="521">
        <v>1.54</v>
      </c>
      <c r="Z9" s="521">
        <v>1.53</v>
      </c>
      <c r="AA9" s="522">
        <v>1.44</v>
      </c>
      <c r="AB9" s="523">
        <v>1.51</v>
      </c>
      <c r="AC9" s="462"/>
      <c r="AD9" s="462"/>
      <c r="AE9" s="462"/>
    </row>
    <row r="10" spans="1:31" ht="12.75">
      <c r="A10" s="92">
        <v>5</v>
      </c>
      <c r="B10" s="66" t="str">
        <f>IF(ISBLANK('Experimental Plan'!B$9),"2",'Experimental Plan'!B$9)</f>
        <v>2</v>
      </c>
      <c r="C10" s="67" t="str">
        <f>IF(ISBLANK('Experimental Plan'!C$8),"1",'Experimental Plan'!C$8)</f>
        <v>1</v>
      </c>
      <c r="D10" s="329" t="str">
        <f>IF(ISBLANK('Experimental Plan'!D$9),"2",'Experimental Plan'!D$9)</f>
        <v>2</v>
      </c>
      <c r="E10" s="67" t="str">
        <f>IF(ISBLANK('Experimental Plan'!E$8),"1",'Experimental Plan'!E$8)</f>
        <v>1</v>
      </c>
      <c r="F10" s="329" t="str">
        <f>IF(ISBLANK('Experimental Plan'!F$9),"2",'Experimental Plan'!F$9)</f>
        <v>2</v>
      </c>
      <c r="G10" s="329" t="str">
        <f>IF(ISBLANK('Experimental Plan'!G$8),"1",'Experimental Plan'!G$8)</f>
        <v>1</v>
      </c>
      <c r="H10" s="68" t="str">
        <f>IF(ISBLANK('Experimental Plan'!H$9),"2",'Experimental Plan'!H$9)</f>
        <v>2</v>
      </c>
      <c r="I10" s="517">
        <v>1.44</v>
      </c>
      <c r="J10" s="518">
        <v>1.51</v>
      </c>
      <c r="K10" s="518">
        <v>1.59</v>
      </c>
      <c r="L10" s="519">
        <v>1.73</v>
      </c>
      <c r="M10" s="520">
        <v>1.51</v>
      </c>
      <c r="N10" s="521">
        <v>1.33</v>
      </c>
      <c r="O10" s="521">
        <v>1.63</v>
      </c>
      <c r="P10" s="521">
        <v>1.36</v>
      </c>
      <c r="Q10" s="522">
        <v>1.41</v>
      </c>
      <c r="R10" s="523">
        <v>1.5</v>
      </c>
      <c r="S10" s="517">
        <v>2.16</v>
      </c>
      <c r="T10" s="518">
        <v>2</v>
      </c>
      <c r="U10" s="518">
        <v>2.02</v>
      </c>
      <c r="V10" s="519">
        <v>2.06</v>
      </c>
      <c r="W10" s="520">
        <v>1.98</v>
      </c>
      <c r="X10" s="521">
        <v>2.72</v>
      </c>
      <c r="Y10" s="521">
        <v>2.35</v>
      </c>
      <c r="Z10" s="521">
        <v>2.18</v>
      </c>
      <c r="AA10" s="522">
        <v>2.58</v>
      </c>
      <c r="AB10" s="523">
        <v>2.38</v>
      </c>
      <c r="AC10" s="462"/>
      <c r="AD10" s="462"/>
      <c r="AE10" s="462"/>
    </row>
    <row r="11" spans="1:31" ht="12.75">
      <c r="A11" s="92">
        <v>6</v>
      </c>
      <c r="B11" s="66" t="str">
        <f>IF(ISBLANK('Experimental Plan'!B$9),"2",'Experimental Plan'!B$9)</f>
        <v>2</v>
      </c>
      <c r="C11" s="67" t="str">
        <f>IF(ISBLANK('Experimental Plan'!C$8),"1",'Experimental Plan'!C$8)</f>
        <v>1</v>
      </c>
      <c r="D11" s="329" t="str">
        <f>IF(ISBLANK('Experimental Plan'!D$9),"2",'Experimental Plan'!D$9)</f>
        <v>2</v>
      </c>
      <c r="E11" s="67" t="str">
        <f>IF(ISBLANK('Experimental Plan'!E$9),"2",'Experimental Plan'!E$9)</f>
        <v>2</v>
      </c>
      <c r="F11" s="329" t="str">
        <f>IF(ISBLANK('Experimental Plan'!F$8),"1",'Experimental Plan'!F$8)</f>
        <v>1</v>
      </c>
      <c r="G11" s="329" t="str">
        <f>IF(ISBLANK('Experimental Plan'!G$9),"2",'Experimental Plan'!G$9)</f>
        <v>2</v>
      </c>
      <c r="H11" s="68" t="str">
        <f>IF(ISBLANK('Experimental Plan'!H$8),"1",'Experimental Plan'!H$8)</f>
        <v>1</v>
      </c>
      <c r="I11" s="517">
        <v>1.56</v>
      </c>
      <c r="J11" s="518">
        <v>1.67</v>
      </c>
      <c r="K11" s="518">
        <v>1.61</v>
      </c>
      <c r="L11" s="519">
        <v>1.48</v>
      </c>
      <c r="M11" s="520">
        <v>1.4</v>
      </c>
      <c r="N11" s="521">
        <v>1.3</v>
      </c>
      <c r="O11" s="521">
        <v>1.19</v>
      </c>
      <c r="P11" s="521">
        <v>1.31</v>
      </c>
      <c r="Q11" s="522">
        <v>1.46</v>
      </c>
      <c r="R11" s="523">
        <v>1.21</v>
      </c>
      <c r="S11" s="517">
        <v>1.97</v>
      </c>
      <c r="T11" s="518">
        <v>2.05</v>
      </c>
      <c r="U11" s="518">
        <v>2.11</v>
      </c>
      <c r="V11" s="519">
        <v>2.02</v>
      </c>
      <c r="W11" s="520">
        <v>1.96</v>
      </c>
      <c r="X11" s="521">
        <v>1.89</v>
      </c>
      <c r="Y11" s="521">
        <v>1.71</v>
      </c>
      <c r="Z11" s="521">
        <v>1.87</v>
      </c>
      <c r="AA11" s="522">
        <v>1.88</v>
      </c>
      <c r="AB11" s="523">
        <v>1.85</v>
      </c>
      <c r="AC11" s="462"/>
      <c r="AD11" s="462"/>
      <c r="AE11" s="462"/>
    </row>
    <row r="12" spans="1:31" ht="12.75">
      <c r="A12" s="92">
        <v>7</v>
      </c>
      <c r="B12" s="66" t="str">
        <f>IF(ISBLANK('Experimental Plan'!B$9),"2",'Experimental Plan'!B$9)</f>
        <v>2</v>
      </c>
      <c r="C12" s="67" t="str">
        <f>IF(ISBLANK('Experimental Plan'!C$9),"2",'Experimental Plan'!C$9)</f>
        <v>2</v>
      </c>
      <c r="D12" s="329" t="str">
        <f>IF(ISBLANK('Experimental Plan'!D$8),"1",'Experimental Plan'!D$8)</f>
        <v>1</v>
      </c>
      <c r="E12" s="67" t="str">
        <f>IF(ISBLANK('Experimental Plan'!E$8),"1",'Experimental Plan'!E$8)</f>
        <v>1</v>
      </c>
      <c r="F12" s="329" t="str">
        <f>IF(ISBLANK('Experimental Plan'!F$9),"2",'Experimental Plan'!F$9)</f>
        <v>2</v>
      </c>
      <c r="G12" s="329" t="str">
        <f>IF(ISBLANK('Experimental Plan'!G$9),"2",'Experimental Plan'!G$9)</f>
        <v>2</v>
      </c>
      <c r="H12" s="68" t="str">
        <f>IF(ISBLANK('Experimental Plan'!H$8),"1",'Experimental Plan'!H$8)</f>
        <v>1</v>
      </c>
      <c r="I12" s="517">
        <v>1.19</v>
      </c>
      <c r="J12" s="518">
        <v>1.34</v>
      </c>
      <c r="K12" s="518">
        <v>1.04</v>
      </c>
      <c r="L12" s="519">
        <v>1.19</v>
      </c>
      <c r="M12" s="520">
        <v>1.14</v>
      </c>
      <c r="N12" s="521">
        <v>1.02</v>
      </c>
      <c r="O12" s="521">
        <v>1.01</v>
      </c>
      <c r="P12" s="521">
        <v>1.04</v>
      </c>
      <c r="Q12" s="522">
        <v>1.03</v>
      </c>
      <c r="R12" s="523">
        <v>1.04</v>
      </c>
      <c r="S12" s="517">
        <v>2.36</v>
      </c>
      <c r="T12" s="518">
        <v>2.14</v>
      </c>
      <c r="U12" s="518">
        <v>2.03</v>
      </c>
      <c r="V12" s="519">
        <v>1.89</v>
      </c>
      <c r="W12" s="520">
        <v>2.13</v>
      </c>
      <c r="X12" s="521">
        <v>1.66</v>
      </c>
      <c r="Y12" s="521">
        <v>1.53</v>
      </c>
      <c r="Z12" s="521">
        <v>1.51</v>
      </c>
      <c r="AA12" s="522">
        <v>1.67</v>
      </c>
      <c r="AB12" s="523">
        <v>1.58</v>
      </c>
      <c r="AC12" s="462"/>
      <c r="AD12" s="462"/>
      <c r="AE12" s="462"/>
    </row>
    <row r="13" spans="1:31" ht="13.5" thickBot="1">
      <c r="A13" s="93">
        <v>8</v>
      </c>
      <c r="B13" s="69" t="str">
        <f>IF(ISBLANK('Experimental Plan'!B$9),"2",'Experimental Plan'!B$9)</f>
        <v>2</v>
      </c>
      <c r="C13" s="70" t="str">
        <f>IF(ISBLANK('Experimental Plan'!C$9),"2",'Experimental Plan'!C$9)</f>
        <v>2</v>
      </c>
      <c r="D13" s="330" t="str">
        <f>IF(ISBLANK('Experimental Plan'!D$8),"1",'Experimental Plan'!D$8)</f>
        <v>1</v>
      </c>
      <c r="E13" s="70" t="str">
        <f>IF(ISBLANK('Experimental Plan'!E$9),"2",'Experimental Plan'!E$9)</f>
        <v>2</v>
      </c>
      <c r="F13" s="330" t="str">
        <f>IF(ISBLANK('Experimental Plan'!F$8),"1",'Experimental Plan'!F$8)</f>
        <v>1</v>
      </c>
      <c r="G13" s="330" t="str">
        <f>IF(ISBLANK('Experimental Plan'!G$8),"1",'Experimental Plan'!G$8)</f>
        <v>1</v>
      </c>
      <c r="H13" s="71" t="str">
        <f>IF(ISBLANK('Experimental Plan'!H$9),"2",'Experimental Plan'!H$9)</f>
        <v>2</v>
      </c>
      <c r="I13" s="524">
        <v>1.36</v>
      </c>
      <c r="J13" s="525">
        <v>1.4</v>
      </c>
      <c r="K13" s="525">
        <v>1.33</v>
      </c>
      <c r="L13" s="526">
        <v>1.33</v>
      </c>
      <c r="M13" s="527">
        <v>1.26</v>
      </c>
      <c r="N13" s="528">
        <v>1.16</v>
      </c>
      <c r="O13" s="528">
        <v>1.17</v>
      </c>
      <c r="P13" s="528">
        <v>1.28</v>
      </c>
      <c r="Q13" s="529">
        <v>1.26</v>
      </c>
      <c r="R13" s="530">
        <v>1.28</v>
      </c>
      <c r="S13" s="524">
        <v>1.8</v>
      </c>
      <c r="T13" s="525">
        <v>1.78</v>
      </c>
      <c r="U13" s="525">
        <v>1.99</v>
      </c>
      <c r="V13" s="526">
        <v>1.84</v>
      </c>
      <c r="W13" s="527">
        <v>1.97</v>
      </c>
      <c r="X13" s="528">
        <v>1.74</v>
      </c>
      <c r="Y13" s="528">
        <v>1.87</v>
      </c>
      <c r="Z13" s="528">
        <v>1.88</v>
      </c>
      <c r="AA13" s="529">
        <v>1.86</v>
      </c>
      <c r="AB13" s="530">
        <v>1.84</v>
      </c>
      <c r="AC13" s="463"/>
      <c r="AD13" s="463"/>
      <c r="AE13" s="463"/>
    </row>
    <row r="14" spans="2:17" ht="12.75">
      <c r="B14" s="7"/>
      <c r="D14" s="8"/>
      <c r="E14" s="8"/>
      <c r="F14" s="9"/>
      <c r="G14" s="8"/>
      <c r="H14" s="8"/>
      <c r="O14" s="18"/>
      <c r="P14" s="18"/>
      <c r="Q14" s="18"/>
    </row>
    <row r="15" spans="3:8" ht="12.75">
      <c r="C15" s="8"/>
      <c r="D15" s="8"/>
      <c r="E15" s="8"/>
      <c r="F15" s="9"/>
      <c r="G15" s="8"/>
      <c r="H15" s="8"/>
    </row>
    <row r="16" spans="2:8" ht="12.75">
      <c r="B16" s="7"/>
      <c r="C16" s="8"/>
      <c r="D16" s="8"/>
      <c r="E16" s="8"/>
      <c r="F16" s="8"/>
      <c r="G16" s="8"/>
      <c r="H16" s="8"/>
    </row>
    <row r="17" ht="11.25" customHeight="1"/>
    <row r="19" ht="12.75">
      <c r="A19" s="13"/>
    </row>
    <row r="20" ht="12.75">
      <c r="A20" s="2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zoomScale="85" zoomScaleNormal="85" workbookViewId="0" topLeftCell="A1">
      <selection activeCell="M17" sqref="M17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3.7109375" style="72" customWidth="1"/>
    <col min="4" max="22" width="3.7109375" style="2" customWidth="1"/>
    <col min="23" max="25" width="5.28125" style="2" customWidth="1"/>
    <col min="26" max="26" width="5.421875" style="2" customWidth="1"/>
    <col min="27" max="16384" width="8.8515625" style="2" customWidth="1"/>
  </cols>
  <sheetData>
    <row r="1" spans="1:26" s="17" customFormat="1" ht="15.75">
      <c r="A1" s="110" t="s">
        <v>0</v>
      </c>
      <c r="B1" s="15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7" ht="17.25" customHeight="1" thickBot="1">
      <c r="B2" s="19"/>
      <c r="C2" s="75"/>
      <c r="G2" s="21"/>
    </row>
    <row r="3" spans="2:23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87"/>
      <c r="L3" s="88"/>
      <c r="M3" s="450"/>
      <c r="N3" s="87"/>
      <c r="O3" s="87"/>
      <c r="P3" s="87"/>
      <c r="Q3" s="89" t="s">
        <v>14</v>
      </c>
      <c r="R3" s="84">
        <f>IF(ISBLANK('Experimental Plan'!X11),"",'Experimental Plan'!X11)</f>
        <v>82</v>
      </c>
      <c r="S3" s="90"/>
      <c r="T3" s="91"/>
      <c r="U3" s="87"/>
      <c r="V3" s="88"/>
      <c r="W3" s="457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295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295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541">
        <f>'Experimental Results'!I6</f>
        <v>1.23</v>
      </c>
      <c r="D5" s="542">
        <f>'Experimental Results'!J6</f>
        <v>1.4</v>
      </c>
      <c r="E5" s="542">
        <f>'Experimental Results'!K6</f>
        <v>1.3</v>
      </c>
      <c r="F5" s="543">
        <f>'Experimental Results'!L6</f>
        <v>1.41</v>
      </c>
      <c r="G5" s="544">
        <f>'Experimental Results'!M6</f>
        <v>1.46</v>
      </c>
      <c r="H5" s="541">
        <f>'Experimental Results'!N6</f>
        <v>1.11</v>
      </c>
      <c r="I5" s="542">
        <f>'Experimental Results'!O6</f>
        <v>1.08</v>
      </c>
      <c r="J5" s="542">
        <f>'Experimental Results'!P6</f>
        <v>1.16</v>
      </c>
      <c r="K5" s="543">
        <f>'Experimental Results'!Q6</f>
        <v>1.19</v>
      </c>
      <c r="L5" s="545">
        <f>'Experimental Results'!R6</f>
        <v>1.22</v>
      </c>
      <c r="M5" s="541">
        <f>'Experimental Results'!S6</f>
        <v>2.24</v>
      </c>
      <c r="N5" s="542">
        <f>'Experimental Results'!T6</f>
        <v>1.98</v>
      </c>
      <c r="O5" s="542">
        <f>'Experimental Results'!U6</f>
        <v>2.34</v>
      </c>
      <c r="P5" s="543">
        <f>'Experimental Results'!V6</f>
        <v>2.06</v>
      </c>
      <c r="Q5" s="544">
        <f>'Experimental Results'!W6</f>
        <v>2.22</v>
      </c>
      <c r="R5" s="541">
        <f>'Experimental Results'!X6</f>
        <v>1.8</v>
      </c>
      <c r="S5" s="542">
        <f>'Experimental Results'!Y6</f>
        <v>1.89</v>
      </c>
      <c r="T5" s="542">
        <f>'Experimental Results'!Z6</f>
        <v>1.85</v>
      </c>
      <c r="U5" s="543">
        <f>'Experimental Results'!AA6</f>
        <v>1.92</v>
      </c>
      <c r="V5" s="545">
        <f>'Experimental Results'!AB6</f>
        <v>1.88</v>
      </c>
      <c r="W5" s="212"/>
      <c r="X5" s="451"/>
      <c r="Y5" s="451"/>
    </row>
    <row r="6" spans="2:25" s="81" customFormat="1" ht="8.25">
      <c r="B6" s="301">
        <v>2</v>
      </c>
      <c r="C6" s="531">
        <f>'Experimental Results'!I7</f>
        <v>1.36</v>
      </c>
      <c r="D6" s="532">
        <f>'Experimental Results'!J7</f>
        <v>1.3</v>
      </c>
      <c r="E6" s="532">
        <f>'Experimental Results'!K7</f>
        <v>1.41</v>
      </c>
      <c r="F6" s="533">
        <f>'Experimental Results'!L7</f>
        <v>1.42</v>
      </c>
      <c r="G6" s="534">
        <f>'Experimental Results'!M7</f>
        <v>1.41</v>
      </c>
      <c r="H6" s="531">
        <f>'Experimental Results'!N7</f>
        <v>1.14</v>
      </c>
      <c r="I6" s="532">
        <f>'Experimental Results'!O7</f>
        <v>1.18</v>
      </c>
      <c r="J6" s="532">
        <f>'Experimental Results'!P7</f>
        <v>1.28</v>
      </c>
      <c r="K6" s="533">
        <f>'Experimental Results'!Q7</f>
        <v>1.19</v>
      </c>
      <c r="L6" s="535">
        <f>'Experimental Results'!R7</f>
        <v>1.28</v>
      </c>
      <c r="M6" s="531">
        <f>'Experimental Results'!S7</f>
        <v>1.72</v>
      </c>
      <c r="N6" s="532">
        <f>'Experimental Results'!T7</f>
        <v>1.79</v>
      </c>
      <c r="O6" s="532">
        <f>'Experimental Results'!U7</f>
        <v>1.86</v>
      </c>
      <c r="P6" s="533">
        <f>'Experimental Results'!V7</f>
        <v>1.82</v>
      </c>
      <c r="Q6" s="534">
        <f>'Experimental Results'!W7</f>
        <v>1.95</v>
      </c>
      <c r="R6" s="531">
        <f>'Experimental Results'!X7</f>
        <v>1.64</v>
      </c>
      <c r="S6" s="532">
        <f>'Experimental Results'!Y7</f>
        <v>1.57</v>
      </c>
      <c r="T6" s="532">
        <f>'Experimental Results'!Z7</f>
        <v>1.61</v>
      </c>
      <c r="U6" s="533">
        <f>'Experimental Results'!AA7</f>
        <v>1.71</v>
      </c>
      <c r="V6" s="535">
        <f>'Experimental Results'!AB7</f>
        <v>1.71</v>
      </c>
      <c r="W6" s="421">
        <f aca="true" t="shared" si="0" ref="W6:W12">IF(OR(ISBLANK(W$3),ISBLANK(W$5)),"",SUMPRODUCT($C6:$V6,$C$15:$V$15)/SUMSQ($C$15:$V$15))</f>
      </c>
      <c r="X6" s="452"/>
      <c r="Y6" s="452"/>
    </row>
    <row r="7" spans="2:25" s="81" customFormat="1" ht="8.25">
      <c r="B7" s="301">
        <v>3</v>
      </c>
      <c r="C7" s="531">
        <f>'Experimental Results'!I8</f>
        <v>1.39</v>
      </c>
      <c r="D7" s="532">
        <f>'Experimental Results'!J8</f>
        <v>1.34</v>
      </c>
      <c r="E7" s="532">
        <f>'Experimental Results'!K8</f>
        <v>1.41</v>
      </c>
      <c r="F7" s="533">
        <f>'Experimental Results'!L8</f>
        <v>1.44</v>
      </c>
      <c r="G7" s="534">
        <f>'Experimental Results'!M8</f>
        <v>1.4</v>
      </c>
      <c r="H7" s="531">
        <f>'Experimental Results'!N8</f>
        <v>1.23</v>
      </c>
      <c r="I7" s="532">
        <f>'Experimental Results'!O8</f>
        <v>1.24</v>
      </c>
      <c r="J7" s="532">
        <f>'Experimental Results'!P8</f>
        <v>1.2</v>
      </c>
      <c r="K7" s="533">
        <f>'Experimental Results'!Q8</f>
        <v>1.32</v>
      </c>
      <c r="L7" s="535">
        <f>'Experimental Results'!R8</f>
        <v>1.28</v>
      </c>
      <c r="M7" s="531">
        <f>'Experimental Results'!S8</f>
        <v>1.93</v>
      </c>
      <c r="N7" s="532">
        <f>'Experimental Results'!T8</f>
        <v>1.9</v>
      </c>
      <c r="O7" s="532">
        <f>'Experimental Results'!U8</f>
        <v>1.97</v>
      </c>
      <c r="P7" s="533">
        <f>'Experimental Results'!V8</f>
        <v>1.81</v>
      </c>
      <c r="Q7" s="534">
        <f>'Experimental Results'!W8</f>
        <v>1.87</v>
      </c>
      <c r="R7" s="531">
        <f>'Experimental Results'!X8</f>
        <v>1.71</v>
      </c>
      <c r="S7" s="532">
        <f>'Experimental Results'!Y8</f>
        <v>1.74</v>
      </c>
      <c r="T7" s="532">
        <f>'Experimental Results'!Z8</f>
        <v>1.61</v>
      </c>
      <c r="U7" s="533">
        <f>'Experimental Results'!AA8</f>
        <v>1.74</v>
      </c>
      <c r="V7" s="535">
        <f>'Experimental Results'!AB8</f>
        <v>1.73</v>
      </c>
      <c r="W7" s="421">
        <f t="shared" si="0"/>
      </c>
      <c r="X7" s="452"/>
      <c r="Y7" s="452"/>
    </row>
    <row r="8" spans="2:25" s="81" customFormat="1" ht="8.25">
      <c r="B8" s="301">
        <v>4</v>
      </c>
      <c r="C8" s="531">
        <f>'Experimental Results'!I9</f>
        <v>1.19</v>
      </c>
      <c r="D8" s="532">
        <f>'Experimental Results'!J9</f>
        <v>1.24</v>
      </c>
      <c r="E8" s="532">
        <f>'Experimental Results'!K9</f>
        <v>1.23</v>
      </c>
      <c r="F8" s="533">
        <f>'Experimental Results'!L9</f>
        <v>1.17</v>
      </c>
      <c r="G8" s="534">
        <f>'Experimental Results'!M9</f>
        <v>1.09</v>
      </c>
      <c r="H8" s="531">
        <f>'Experimental Results'!N9</f>
        <v>1.03</v>
      </c>
      <c r="I8" s="532">
        <f>'Experimental Results'!O9</f>
        <v>1.08</v>
      </c>
      <c r="J8" s="532">
        <f>'Experimental Results'!P9</f>
        <v>1.15</v>
      </c>
      <c r="K8" s="533">
        <f>'Experimental Results'!Q9</f>
        <v>1.1</v>
      </c>
      <c r="L8" s="535">
        <f>'Experimental Results'!R9</f>
        <v>1.08</v>
      </c>
      <c r="M8" s="531">
        <f>'Experimental Results'!S9</f>
        <v>1.57</v>
      </c>
      <c r="N8" s="532">
        <f>'Experimental Results'!T9</f>
        <v>1.56</v>
      </c>
      <c r="O8" s="532">
        <f>'Experimental Results'!U9</f>
        <v>1.6</v>
      </c>
      <c r="P8" s="533">
        <f>'Experimental Results'!V9</f>
        <v>1.56</v>
      </c>
      <c r="Q8" s="534">
        <f>'Experimental Results'!W9</f>
        <v>1.66</v>
      </c>
      <c r="R8" s="531">
        <f>'Experimental Results'!X9</f>
        <v>1.46</v>
      </c>
      <c r="S8" s="532">
        <f>'Experimental Results'!Y9</f>
        <v>1.54</v>
      </c>
      <c r="T8" s="532">
        <f>'Experimental Results'!Z9</f>
        <v>1.53</v>
      </c>
      <c r="U8" s="533">
        <f>'Experimental Results'!AA9</f>
        <v>1.44</v>
      </c>
      <c r="V8" s="535">
        <f>'Experimental Results'!AB9</f>
        <v>1.51</v>
      </c>
      <c r="W8" s="421">
        <f t="shared" si="0"/>
      </c>
      <c r="X8" s="452"/>
      <c r="Y8" s="452"/>
    </row>
    <row r="9" spans="2:25" s="81" customFormat="1" ht="8.25">
      <c r="B9" s="301">
        <v>5</v>
      </c>
      <c r="C9" s="531">
        <f>'Experimental Results'!I10</f>
        <v>1.44</v>
      </c>
      <c r="D9" s="532">
        <f>'Experimental Results'!J10</f>
        <v>1.51</v>
      </c>
      <c r="E9" s="532">
        <f>'Experimental Results'!K10</f>
        <v>1.59</v>
      </c>
      <c r="F9" s="533">
        <f>'Experimental Results'!L10</f>
        <v>1.73</v>
      </c>
      <c r="G9" s="534">
        <f>'Experimental Results'!M10</f>
        <v>1.51</v>
      </c>
      <c r="H9" s="531">
        <f>'Experimental Results'!N10</f>
        <v>1.33</v>
      </c>
      <c r="I9" s="532">
        <f>'Experimental Results'!O10</f>
        <v>1.63</v>
      </c>
      <c r="J9" s="532">
        <f>'Experimental Results'!P10</f>
        <v>1.36</v>
      </c>
      <c r="K9" s="533">
        <f>'Experimental Results'!Q10</f>
        <v>1.41</v>
      </c>
      <c r="L9" s="535">
        <f>'Experimental Results'!R10</f>
        <v>1.5</v>
      </c>
      <c r="M9" s="531">
        <f>'Experimental Results'!S10</f>
        <v>2.16</v>
      </c>
      <c r="N9" s="532">
        <f>'Experimental Results'!T10</f>
        <v>2</v>
      </c>
      <c r="O9" s="532">
        <f>'Experimental Results'!U10</f>
        <v>2.02</v>
      </c>
      <c r="P9" s="533">
        <f>'Experimental Results'!V10</f>
        <v>2.06</v>
      </c>
      <c r="Q9" s="534">
        <f>'Experimental Results'!W10</f>
        <v>1.98</v>
      </c>
      <c r="R9" s="531">
        <f>'Experimental Results'!X10</f>
        <v>2.72</v>
      </c>
      <c r="S9" s="532">
        <f>'Experimental Results'!Y10</f>
        <v>2.35</v>
      </c>
      <c r="T9" s="532">
        <f>'Experimental Results'!Z10</f>
        <v>2.18</v>
      </c>
      <c r="U9" s="533">
        <f>'Experimental Results'!AA10</f>
        <v>2.58</v>
      </c>
      <c r="V9" s="535">
        <f>'Experimental Results'!AB10</f>
        <v>2.38</v>
      </c>
      <c r="W9" s="421">
        <f t="shared" si="0"/>
      </c>
      <c r="X9" s="452"/>
      <c r="Y9" s="452"/>
    </row>
    <row r="10" spans="2:25" s="81" customFormat="1" ht="8.25">
      <c r="B10" s="301">
        <v>6</v>
      </c>
      <c r="C10" s="531">
        <f>'Experimental Results'!I11</f>
        <v>1.56</v>
      </c>
      <c r="D10" s="532">
        <f>'Experimental Results'!J11</f>
        <v>1.67</v>
      </c>
      <c r="E10" s="532">
        <f>'Experimental Results'!K11</f>
        <v>1.61</v>
      </c>
      <c r="F10" s="533">
        <f>'Experimental Results'!L11</f>
        <v>1.48</v>
      </c>
      <c r="G10" s="534">
        <f>'Experimental Results'!M11</f>
        <v>1.4</v>
      </c>
      <c r="H10" s="531">
        <f>'Experimental Results'!N11</f>
        <v>1.3</v>
      </c>
      <c r="I10" s="532">
        <f>'Experimental Results'!O11</f>
        <v>1.19</v>
      </c>
      <c r="J10" s="532">
        <f>'Experimental Results'!P11</f>
        <v>1.31</v>
      </c>
      <c r="K10" s="533">
        <f>'Experimental Results'!Q11</f>
        <v>1.46</v>
      </c>
      <c r="L10" s="535">
        <f>'Experimental Results'!R11</f>
        <v>1.21</v>
      </c>
      <c r="M10" s="531">
        <f>'Experimental Results'!S11</f>
        <v>1.97</v>
      </c>
      <c r="N10" s="532">
        <f>'Experimental Results'!T11</f>
        <v>2.05</v>
      </c>
      <c r="O10" s="532">
        <f>'Experimental Results'!U11</f>
        <v>2.11</v>
      </c>
      <c r="P10" s="533">
        <f>'Experimental Results'!V11</f>
        <v>2.02</v>
      </c>
      <c r="Q10" s="534">
        <f>'Experimental Results'!W11</f>
        <v>1.96</v>
      </c>
      <c r="R10" s="531">
        <f>'Experimental Results'!X11</f>
        <v>1.89</v>
      </c>
      <c r="S10" s="532">
        <f>'Experimental Results'!Y11</f>
        <v>1.71</v>
      </c>
      <c r="T10" s="532">
        <f>'Experimental Results'!Z11</f>
        <v>1.87</v>
      </c>
      <c r="U10" s="533">
        <f>'Experimental Results'!AA11</f>
        <v>1.88</v>
      </c>
      <c r="V10" s="535">
        <f>'Experimental Results'!AB11</f>
        <v>1.85</v>
      </c>
      <c r="W10" s="421">
        <f t="shared" si="0"/>
      </c>
      <c r="X10" s="452"/>
      <c r="Y10" s="452"/>
    </row>
    <row r="11" spans="2:25" s="81" customFormat="1" ht="8.25">
      <c r="B11" s="301">
        <v>7</v>
      </c>
      <c r="C11" s="531">
        <f>'Experimental Results'!I12</f>
        <v>1.19</v>
      </c>
      <c r="D11" s="532">
        <f>'Experimental Results'!J12</f>
        <v>1.34</v>
      </c>
      <c r="E11" s="532">
        <f>'Experimental Results'!K12</f>
        <v>1.04</v>
      </c>
      <c r="F11" s="533">
        <f>'Experimental Results'!L12</f>
        <v>1.19</v>
      </c>
      <c r="G11" s="534">
        <f>'Experimental Results'!M12</f>
        <v>1.14</v>
      </c>
      <c r="H11" s="531">
        <f>'Experimental Results'!N12</f>
        <v>1.02</v>
      </c>
      <c r="I11" s="532">
        <f>'Experimental Results'!O12</f>
        <v>1.01</v>
      </c>
      <c r="J11" s="532">
        <f>'Experimental Results'!P12</f>
        <v>1.04</v>
      </c>
      <c r="K11" s="533">
        <f>'Experimental Results'!Q12</f>
        <v>1.03</v>
      </c>
      <c r="L11" s="535">
        <f>'Experimental Results'!R12</f>
        <v>1.04</v>
      </c>
      <c r="M11" s="531">
        <f>'Experimental Results'!S12</f>
        <v>2.36</v>
      </c>
      <c r="N11" s="532">
        <f>'Experimental Results'!T12</f>
        <v>2.14</v>
      </c>
      <c r="O11" s="532">
        <f>'Experimental Results'!U12</f>
        <v>2.03</v>
      </c>
      <c r="P11" s="533">
        <f>'Experimental Results'!V12</f>
        <v>1.89</v>
      </c>
      <c r="Q11" s="534">
        <f>'Experimental Results'!W12</f>
        <v>2.13</v>
      </c>
      <c r="R11" s="531">
        <f>'Experimental Results'!X12</f>
        <v>1.66</v>
      </c>
      <c r="S11" s="532">
        <f>'Experimental Results'!Y12</f>
        <v>1.53</v>
      </c>
      <c r="T11" s="532">
        <f>'Experimental Results'!Z12</f>
        <v>1.51</v>
      </c>
      <c r="U11" s="533">
        <f>'Experimental Results'!AA12</f>
        <v>1.67</v>
      </c>
      <c r="V11" s="535">
        <f>'Experimental Results'!AB12</f>
        <v>1.58</v>
      </c>
      <c r="W11" s="421">
        <f t="shared" si="0"/>
      </c>
      <c r="X11" s="452"/>
      <c r="Y11" s="452"/>
    </row>
    <row r="12" spans="2:25" s="81" customFormat="1" ht="9" thickBot="1">
      <c r="B12" s="302">
        <v>8</v>
      </c>
      <c r="C12" s="536">
        <f>'Experimental Results'!I13</f>
        <v>1.36</v>
      </c>
      <c r="D12" s="537">
        <f>'Experimental Results'!J13</f>
        <v>1.4</v>
      </c>
      <c r="E12" s="537">
        <f>'Experimental Results'!K13</f>
        <v>1.33</v>
      </c>
      <c r="F12" s="538">
        <f>'Experimental Results'!L13</f>
        <v>1.33</v>
      </c>
      <c r="G12" s="539">
        <f>'Experimental Results'!M13</f>
        <v>1.26</v>
      </c>
      <c r="H12" s="536">
        <f>'Experimental Results'!N13</f>
        <v>1.16</v>
      </c>
      <c r="I12" s="537">
        <f>'Experimental Results'!O13</f>
        <v>1.17</v>
      </c>
      <c r="J12" s="537">
        <f>'Experimental Results'!P13</f>
        <v>1.28</v>
      </c>
      <c r="K12" s="538">
        <f>'Experimental Results'!Q13</f>
        <v>1.26</v>
      </c>
      <c r="L12" s="540">
        <f>'Experimental Results'!R13</f>
        <v>1.28</v>
      </c>
      <c r="M12" s="536">
        <f>'Experimental Results'!S13</f>
        <v>1.8</v>
      </c>
      <c r="N12" s="537">
        <f>'Experimental Results'!T13</f>
        <v>1.78</v>
      </c>
      <c r="O12" s="537">
        <f>'Experimental Results'!U13</f>
        <v>1.99</v>
      </c>
      <c r="P12" s="538">
        <f>'Experimental Results'!V13</f>
        <v>1.84</v>
      </c>
      <c r="Q12" s="539">
        <f>'Experimental Results'!W13</f>
        <v>1.97</v>
      </c>
      <c r="R12" s="536">
        <f>'Experimental Results'!X13</f>
        <v>1.74</v>
      </c>
      <c r="S12" s="537">
        <f>'Experimental Results'!Y13</f>
        <v>1.87</v>
      </c>
      <c r="T12" s="537">
        <f>'Experimental Results'!Z13</f>
        <v>1.88</v>
      </c>
      <c r="U12" s="538">
        <f>'Experimental Results'!AA13</f>
        <v>1.86</v>
      </c>
      <c r="V12" s="540">
        <f>'Experimental Results'!AB13</f>
        <v>1.84</v>
      </c>
      <c r="W12" s="430">
        <f t="shared" si="0"/>
      </c>
      <c r="X12" s="453"/>
      <c r="Y12" s="453"/>
    </row>
    <row r="13" spans="2:25" s="81" customFormat="1" ht="17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54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488">
        <f>IF(ISBLANK(W5),"",IF(W5=(SUM(C16:V16)/SUM(C17:V17)),"","## beta ERROR ##"))</f>
      </c>
      <c r="X13" s="2"/>
      <c r="Y13" s="2"/>
    </row>
    <row r="14" spans="1:24" s="186" customFormat="1" ht="18.75">
      <c r="A14" s="2"/>
      <c r="B14" s="300" t="s">
        <v>22</v>
      </c>
      <c r="C14" s="459"/>
      <c r="D14" s="435">
        <f aca="true" t="shared" si="1" ref="D14:V14">C5</f>
        <v>1.23</v>
      </c>
      <c r="E14" s="435">
        <f t="shared" si="1"/>
        <v>1.4</v>
      </c>
      <c r="F14" s="435">
        <f t="shared" si="1"/>
        <v>1.3</v>
      </c>
      <c r="G14" s="435">
        <f t="shared" si="1"/>
        <v>1.41</v>
      </c>
      <c r="H14" s="435">
        <f t="shared" si="1"/>
        <v>1.46</v>
      </c>
      <c r="I14" s="435">
        <f t="shared" si="1"/>
        <v>1.11</v>
      </c>
      <c r="J14" s="435">
        <f t="shared" si="1"/>
        <v>1.08</v>
      </c>
      <c r="K14" s="435">
        <f t="shared" si="1"/>
        <v>1.16</v>
      </c>
      <c r="L14" s="435">
        <f t="shared" si="1"/>
        <v>1.19</v>
      </c>
      <c r="M14" s="435">
        <f t="shared" si="1"/>
        <v>1.22</v>
      </c>
      <c r="N14" s="435">
        <f t="shared" si="1"/>
        <v>2.24</v>
      </c>
      <c r="O14" s="435">
        <f t="shared" si="1"/>
        <v>1.98</v>
      </c>
      <c r="P14" s="435">
        <f t="shared" si="1"/>
        <v>2.34</v>
      </c>
      <c r="Q14" s="435">
        <f t="shared" si="1"/>
        <v>2.06</v>
      </c>
      <c r="R14" s="435">
        <f t="shared" si="1"/>
        <v>2.22</v>
      </c>
      <c r="S14" s="435">
        <f t="shared" si="1"/>
        <v>1.8</v>
      </c>
      <c r="T14" s="435">
        <f t="shared" si="1"/>
        <v>1.89</v>
      </c>
      <c r="U14" s="435">
        <f t="shared" si="1"/>
        <v>1.85</v>
      </c>
      <c r="V14" s="435">
        <f t="shared" si="1"/>
        <v>1.92</v>
      </c>
      <c r="W14" s="458"/>
      <c r="X14" s="489">
        <f>IF(OR(ISBLANK(C14),ISBLANK(R14)),"",IF(AND(C14=C5,R14=R5),"","## ERROR in C14 or R14 ##"))</f>
      </c>
    </row>
    <row r="15" spans="2:24" s="186" customFormat="1" ht="18.75">
      <c r="B15" s="300" t="s">
        <v>23</v>
      </c>
      <c r="C15" s="448"/>
      <c r="D15" s="438">
        <f aca="true" t="shared" si="2" ref="D15:L15">$H$3</f>
        <v>57</v>
      </c>
      <c r="E15" s="438">
        <f t="shared" si="2"/>
        <v>57</v>
      </c>
      <c r="F15" s="438">
        <f t="shared" si="2"/>
        <v>57</v>
      </c>
      <c r="G15" s="438">
        <f t="shared" si="2"/>
        <v>57</v>
      </c>
      <c r="H15" s="438">
        <f t="shared" si="2"/>
        <v>57</v>
      </c>
      <c r="I15" s="438">
        <f t="shared" si="2"/>
        <v>57</v>
      </c>
      <c r="J15" s="438">
        <f t="shared" si="2"/>
        <v>57</v>
      </c>
      <c r="K15" s="438">
        <f t="shared" si="2"/>
        <v>57</v>
      </c>
      <c r="L15" s="438">
        <f t="shared" si="2"/>
        <v>57</v>
      </c>
      <c r="M15" s="437">
        <f aca="true" t="shared" si="3" ref="M15:V15">$R$3</f>
        <v>82</v>
      </c>
      <c r="N15" s="437">
        <f t="shared" si="3"/>
        <v>82</v>
      </c>
      <c r="O15" s="437">
        <f t="shared" si="3"/>
        <v>82</v>
      </c>
      <c r="P15" s="437">
        <f t="shared" si="3"/>
        <v>82</v>
      </c>
      <c r="Q15" s="437">
        <f t="shared" si="3"/>
        <v>82</v>
      </c>
      <c r="R15" s="437">
        <f t="shared" si="3"/>
        <v>82</v>
      </c>
      <c r="S15" s="437">
        <f t="shared" si="3"/>
        <v>82</v>
      </c>
      <c r="T15" s="437">
        <f t="shared" si="3"/>
        <v>82</v>
      </c>
      <c r="U15" s="437">
        <f t="shared" si="3"/>
        <v>82</v>
      </c>
      <c r="V15" s="437">
        <f t="shared" si="3"/>
        <v>82</v>
      </c>
      <c r="W15" s="458"/>
      <c r="X15" s="489">
        <f>IF(OR(ISBLANK(C15),ISBLANK(R15)),"",IF(AND(C15=H3,R15=R3),"","## ERROR in C15 or R15 ##"))</f>
      </c>
    </row>
    <row r="16" spans="2:24" s="186" customFormat="1" ht="18.75">
      <c r="B16" s="300" t="s">
        <v>24</v>
      </c>
      <c r="C16" s="448"/>
      <c r="D16" s="440">
        <f>D15*D14</f>
        <v>70.11</v>
      </c>
      <c r="E16" s="440">
        <f aca="true" t="shared" si="4" ref="E16:T16">E15*E14</f>
        <v>79.8</v>
      </c>
      <c r="F16" s="440">
        <f t="shared" si="4"/>
        <v>74.10000000000001</v>
      </c>
      <c r="G16" s="440">
        <f t="shared" si="4"/>
        <v>80.36999999999999</v>
      </c>
      <c r="H16" s="440">
        <f t="shared" si="4"/>
        <v>83.22</v>
      </c>
      <c r="I16" s="440">
        <f t="shared" si="4"/>
        <v>63.27</v>
      </c>
      <c r="J16" s="440">
        <f t="shared" si="4"/>
        <v>61.56</v>
      </c>
      <c r="K16" s="440">
        <f t="shared" si="4"/>
        <v>66.11999999999999</v>
      </c>
      <c r="L16" s="440">
        <f t="shared" si="4"/>
        <v>67.83</v>
      </c>
      <c r="M16" s="440">
        <f>M15*M14</f>
        <v>100.03999999999999</v>
      </c>
      <c r="N16" s="440">
        <f t="shared" si="4"/>
        <v>183.68</v>
      </c>
      <c r="O16" s="440">
        <f t="shared" si="4"/>
        <v>162.35999999999999</v>
      </c>
      <c r="P16" s="440">
        <f t="shared" si="4"/>
        <v>191.88</v>
      </c>
      <c r="Q16" s="440">
        <f t="shared" si="4"/>
        <v>168.92000000000002</v>
      </c>
      <c r="R16" s="440">
        <f t="shared" si="4"/>
        <v>182.04000000000002</v>
      </c>
      <c r="S16" s="440">
        <f t="shared" si="4"/>
        <v>147.6</v>
      </c>
      <c r="T16" s="440">
        <f t="shared" si="4"/>
        <v>154.98</v>
      </c>
      <c r="U16" s="440">
        <f>U15*U14</f>
        <v>151.70000000000002</v>
      </c>
      <c r="V16" s="440">
        <f>V15*V14</f>
        <v>157.44</v>
      </c>
      <c r="W16" s="458"/>
      <c r="X16" s="489">
        <f>IF(OR(ISBLANK(C16),ISBLANK(R16)),"",IF(AND(C16=C14*C15,R16=R14*R15),"","## ERROR in C16 or R16 ##"))</f>
      </c>
    </row>
    <row r="17" spans="1:24" s="186" customFormat="1" ht="19.5" thickBot="1">
      <c r="A17" s="2"/>
      <c r="B17" s="300" t="s">
        <v>25</v>
      </c>
      <c r="C17" s="460"/>
      <c r="D17" s="455">
        <f aca="true" t="shared" si="5" ref="D17:Q17">IF(OR(ISBLANK($W17),ISBLANK($C17),ISBLANK($R17)),"",D15^2)</f>
      </c>
      <c r="E17" s="455">
        <f t="shared" si="5"/>
      </c>
      <c r="F17" s="455">
        <f t="shared" si="5"/>
      </c>
      <c r="G17" s="455">
        <f t="shared" si="5"/>
      </c>
      <c r="H17" s="456">
        <f t="shared" si="5"/>
      </c>
      <c r="I17" s="455">
        <f t="shared" si="5"/>
      </c>
      <c r="J17" s="455">
        <f t="shared" si="5"/>
      </c>
      <c r="K17" s="455">
        <f t="shared" si="5"/>
      </c>
      <c r="L17" s="455">
        <f t="shared" si="5"/>
      </c>
      <c r="M17" s="456">
        <f t="shared" si="5"/>
      </c>
      <c r="N17" s="455">
        <f t="shared" si="5"/>
      </c>
      <c r="O17" s="455">
        <f t="shared" si="5"/>
      </c>
      <c r="P17" s="455">
        <f t="shared" si="5"/>
      </c>
      <c r="Q17" s="455">
        <f t="shared" si="5"/>
      </c>
      <c r="R17" s="460"/>
      <c r="S17" s="455">
        <f>IF(OR(ISBLANK($W17),ISBLANK($C17),ISBLANK($R17)),"",S15^2)</f>
      </c>
      <c r="T17" s="455">
        <f>IF(OR(ISBLANK($W17),ISBLANK($C17),ISBLANK($R17)),"",T15^2)</f>
      </c>
      <c r="U17" s="455">
        <f>IF(OR(ISBLANK($W17),ISBLANK($C17),ISBLANK($R17)),"",U15^2)</f>
      </c>
      <c r="V17" s="455">
        <f>IF(OR(ISBLANK($W17),ISBLANK($C17),ISBLANK($R17)),"",V15^2)</f>
      </c>
      <c r="W17" s="458"/>
      <c r="X17" s="489">
        <f>IF(OR(ISBLANK(C17),ISBLANK(R17)),"",IF(AND(C17=C15^2,R17=R15^2),"","## ERROR in C17 or R17 ##"))</f>
      </c>
    </row>
    <row r="18" spans="1:23" s="186" customFormat="1" ht="15">
      <c r="A18" s="2"/>
      <c r="B18" s="7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314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C16" sqref="C16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9" width="3.7109375" style="72" customWidth="1"/>
    <col min="10" max="22" width="3.7109375" style="2" customWidth="1"/>
    <col min="23" max="25" width="5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7" customFormat="1" ht="15.75">
      <c r="A1" s="110" t="s">
        <v>0</v>
      </c>
      <c r="B1" s="2"/>
      <c r="C1" s="303"/>
      <c r="D1" s="303"/>
      <c r="E1" s="303"/>
      <c r="F1" s="303"/>
      <c r="G1" s="303"/>
      <c r="H1" s="303"/>
      <c r="I1" s="303"/>
    </row>
    <row r="2" spans="2:25" ht="13.5" thickBot="1">
      <c r="B2" s="19"/>
      <c r="D2" s="73"/>
      <c r="G2" s="73"/>
      <c r="H2" s="73"/>
      <c r="I2" s="75"/>
      <c r="M2" s="21"/>
      <c r="Y2" s="316"/>
    </row>
    <row r="3" spans="2:25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208"/>
      <c r="L3" s="209"/>
      <c r="M3" s="404"/>
      <c r="N3" s="208"/>
      <c r="O3" s="208"/>
      <c r="P3" s="208"/>
      <c r="Q3" s="89" t="s">
        <v>14</v>
      </c>
      <c r="R3" s="84">
        <f>IF(ISBLANK('Experimental Plan'!X11),"",'Experimental Plan'!X11)</f>
        <v>82</v>
      </c>
      <c r="S3" s="210"/>
      <c r="T3" s="211"/>
      <c r="U3" s="208"/>
      <c r="V3" s="209"/>
      <c r="X3" s="446"/>
      <c r="Y3" s="446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304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304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407">
        <f>'Experimental Results'!I6</f>
        <v>1.23</v>
      </c>
      <c r="D5" s="408">
        <f>'Experimental Results'!J6</f>
        <v>1.4</v>
      </c>
      <c r="E5" s="408">
        <f>'Experimental Results'!K6</f>
        <v>1.3</v>
      </c>
      <c r="F5" s="409">
        <f>'Experimental Results'!L6</f>
        <v>1.41</v>
      </c>
      <c r="G5" s="410">
        <f>'Experimental Results'!M6</f>
        <v>1.46</v>
      </c>
      <c r="H5" s="411">
        <f>'Experimental Results'!N6</f>
        <v>1.11</v>
      </c>
      <c r="I5" s="408">
        <f>'Experimental Results'!O6</f>
        <v>1.08</v>
      </c>
      <c r="J5" s="408">
        <f>'Experimental Results'!P6</f>
        <v>1.16</v>
      </c>
      <c r="K5" s="409">
        <f>'Experimental Results'!Q6</f>
        <v>1.19</v>
      </c>
      <c r="L5" s="412">
        <f>'Experimental Results'!R6</f>
        <v>1.22</v>
      </c>
      <c r="M5" s="407">
        <f>'Experimental Results'!S6</f>
        <v>2.24</v>
      </c>
      <c r="N5" s="408">
        <f>'Experimental Results'!T6</f>
        <v>1.98</v>
      </c>
      <c r="O5" s="408">
        <f>'Experimental Results'!U6</f>
        <v>2.34</v>
      </c>
      <c r="P5" s="409">
        <f>'Experimental Results'!V6</f>
        <v>2.06</v>
      </c>
      <c r="Q5" s="410">
        <f>'Experimental Results'!W6</f>
        <v>2.22</v>
      </c>
      <c r="R5" s="411">
        <f>'Experimental Results'!X6</f>
        <v>1.8</v>
      </c>
      <c r="S5" s="408">
        <f>'Experimental Results'!Y6</f>
        <v>1.89</v>
      </c>
      <c r="T5" s="408">
        <f>'Experimental Results'!Z6</f>
        <v>1.85</v>
      </c>
      <c r="U5" s="409">
        <f>'Experimental Results'!AA6</f>
        <v>1.92</v>
      </c>
      <c r="V5" s="412">
        <f>'Experimental Results'!AB6</f>
        <v>1.88</v>
      </c>
      <c r="W5" s="413">
        <f>'Calculating beta'!W5</f>
        <v>0</v>
      </c>
      <c r="X5" s="212"/>
      <c r="Y5" s="187"/>
    </row>
    <row r="6" spans="2:25" s="81" customFormat="1" ht="8.25">
      <c r="B6" s="301">
        <v>2</v>
      </c>
      <c r="C6" s="414">
        <f>'Experimental Results'!I7</f>
        <v>1.36</v>
      </c>
      <c r="D6" s="415">
        <f>'Experimental Results'!J7</f>
        <v>1.3</v>
      </c>
      <c r="E6" s="415">
        <f>'Experimental Results'!K7</f>
        <v>1.41</v>
      </c>
      <c r="F6" s="416">
        <f>'Experimental Results'!L7</f>
        <v>1.42</v>
      </c>
      <c r="G6" s="417">
        <f>'Experimental Results'!M7</f>
        <v>1.41</v>
      </c>
      <c r="H6" s="418">
        <f>'Experimental Results'!N7</f>
        <v>1.14</v>
      </c>
      <c r="I6" s="415">
        <f>'Experimental Results'!O7</f>
        <v>1.18</v>
      </c>
      <c r="J6" s="415">
        <f>'Experimental Results'!P7</f>
        <v>1.28</v>
      </c>
      <c r="K6" s="416">
        <f>'Experimental Results'!Q7</f>
        <v>1.19</v>
      </c>
      <c r="L6" s="419">
        <f>'Experimental Results'!R7</f>
        <v>1.28</v>
      </c>
      <c r="M6" s="414">
        <f>'Experimental Results'!S7</f>
        <v>1.72</v>
      </c>
      <c r="N6" s="415">
        <f>'Experimental Results'!T7</f>
        <v>1.79</v>
      </c>
      <c r="O6" s="415">
        <f>'Experimental Results'!U7</f>
        <v>1.86</v>
      </c>
      <c r="P6" s="416">
        <f>'Experimental Results'!V7</f>
        <v>1.82</v>
      </c>
      <c r="Q6" s="417">
        <f>'Experimental Results'!W7</f>
        <v>1.95</v>
      </c>
      <c r="R6" s="418">
        <f>'Experimental Results'!X7</f>
        <v>1.64</v>
      </c>
      <c r="S6" s="415">
        <f>'Experimental Results'!Y7</f>
        <v>1.57</v>
      </c>
      <c r="T6" s="415">
        <f>'Experimental Results'!Z7</f>
        <v>1.61</v>
      </c>
      <c r="U6" s="416">
        <f>'Experimental Results'!AA7</f>
        <v>1.71</v>
      </c>
      <c r="V6" s="419">
        <f>'Experimental Results'!AB7</f>
        <v>1.71</v>
      </c>
      <c r="W6" s="420">
        <f>'Calculating beta'!W6</f>
      </c>
      <c r="X6" s="421">
        <f aca="true" t="shared" si="0" ref="X6:X12">IF(OR(ISBLANK(X$3),ISBLANK(X$5)),"",(SUMSQ(C6:V6)-SUMPRODUCT($C6:$V6,$C$15:$V$15)^2/SUMSQ($C$15:$V$15))/(COUNT(C6:V6)-1))</f>
      </c>
      <c r="Y6" s="422">
        <f aca="true" t="shared" si="1" ref="Y6:Y12">IF(OR(ISBLANK(Y$3),ISBLANK(Y$5)),"",10*LOG(W6^2/X6))</f>
      </c>
    </row>
    <row r="7" spans="2:25" s="81" customFormat="1" ht="8.25">
      <c r="B7" s="301">
        <v>3</v>
      </c>
      <c r="C7" s="414">
        <f>'Experimental Results'!I8</f>
        <v>1.39</v>
      </c>
      <c r="D7" s="415">
        <f>'Experimental Results'!J8</f>
        <v>1.34</v>
      </c>
      <c r="E7" s="415">
        <f>'Experimental Results'!K8</f>
        <v>1.41</v>
      </c>
      <c r="F7" s="416">
        <f>'Experimental Results'!L8</f>
        <v>1.44</v>
      </c>
      <c r="G7" s="417">
        <f>'Experimental Results'!M8</f>
        <v>1.4</v>
      </c>
      <c r="H7" s="418">
        <f>'Experimental Results'!N8</f>
        <v>1.23</v>
      </c>
      <c r="I7" s="415">
        <f>'Experimental Results'!O8</f>
        <v>1.24</v>
      </c>
      <c r="J7" s="415">
        <f>'Experimental Results'!P8</f>
        <v>1.2</v>
      </c>
      <c r="K7" s="416">
        <f>'Experimental Results'!Q8</f>
        <v>1.32</v>
      </c>
      <c r="L7" s="419">
        <f>'Experimental Results'!R8</f>
        <v>1.28</v>
      </c>
      <c r="M7" s="414">
        <f>'Experimental Results'!S8</f>
        <v>1.93</v>
      </c>
      <c r="N7" s="415">
        <f>'Experimental Results'!T8</f>
        <v>1.9</v>
      </c>
      <c r="O7" s="415">
        <f>'Experimental Results'!U8</f>
        <v>1.97</v>
      </c>
      <c r="P7" s="416">
        <f>'Experimental Results'!V8</f>
        <v>1.81</v>
      </c>
      <c r="Q7" s="417">
        <f>'Experimental Results'!W8</f>
        <v>1.87</v>
      </c>
      <c r="R7" s="418">
        <f>'Experimental Results'!X8</f>
        <v>1.71</v>
      </c>
      <c r="S7" s="415">
        <f>'Experimental Results'!Y8</f>
        <v>1.74</v>
      </c>
      <c r="T7" s="415">
        <f>'Experimental Results'!Z8</f>
        <v>1.61</v>
      </c>
      <c r="U7" s="416">
        <f>'Experimental Results'!AA8</f>
        <v>1.74</v>
      </c>
      <c r="V7" s="419">
        <f>'Experimental Results'!AB8</f>
        <v>1.73</v>
      </c>
      <c r="W7" s="420">
        <f>'Calculating beta'!W7</f>
      </c>
      <c r="X7" s="421">
        <f t="shared" si="0"/>
      </c>
      <c r="Y7" s="422">
        <f t="shared" si="1"/>
      </c>
    </row>
    <row r="8" spans="2:25" s="81" customFormat="1" ht="8.25">
      <c r="B8" s="301">
        <v>4</v>
      </c>
      <c r="C8" s="414">
        <f>'Experimental Results'!I9</f>
        <v>1.19</v>
      </c>
      <c r="D8" s="415">
        <f>'Experimental Results'!J9</f>
        <v>1.24</v>
      </c>
      <c r="E8" s="415">
        <f>'Experimental Results'!K9</f>
        <v>1.23</v>
      </c>
      <c r="F8" s="416">
        <f>'Experimental Results'!L9</f>
        <v>1.17</v>
      </c>
      <c r="G8" s="417">
        <f>'Experimental Results'!M9</f>
        <v>1.09</v>
      </c>
      <c r="H8" s="418">
        <f>'Experimental Results'!N9</f>
        <v>1.03</v>
      </c>
      <c r="I8" s="415">
        <f>'Experimental Results'!O9</f>
        <v>1.08</v>
      </c>
      <c r="J8" s="415">
        <f>'Experimental Results'!P9</f>
        <v>1.15</v>
      </c>
      <c r="K8" s="416">
        <f>'Experimental Results'!Q9</f>
        <v>1.1</v>
      </c>
      <c r="L8" s="419">
        <f>'Experimental Results'!R9</f>
        <v>1.08</v>
      </c>
      <c r="M8" s="414">
        <f>'Experimental Results'!S9</f>
        <v>1.57</v>
      </c>
      <c r="N8" s="415">
        <f>'Experimental Results'!T9</f>
        <v>1.56</v>
      </c>
      <c r="O8" s="415">
        <f>'Experimental Results'!U9</f>
        <v>1.6</v>
      </c>
      <c r="P8" s="416">
        <f>'Experimental Results'!V9</f>
        <v>1.56</v>
      </c>
      <c r="Q8" s="417">
        <f>'Experimental Results'!W9</f>
        <v>1.66</v>
      </c>
      <c r="R8" s="418">
        <f>'Experimental Results'!X9</f>
        <v>1.46</v>
      </c>
      <c r="S8" s="415">
        <f>'Experimental Results'!Y9</f>
        <v>1.54</v>
      </c>
      <c r="T8" s="415">
        <f>'Experimental Results'!Z9</f>
        <v>1.53</v>
      </c>
      <c r="U8" s="416">
        <f>'Experimental Results'!AA9</f>
        <v>1.44</v>
      </c>
      <c r="V8" s="419">
        <f>'Experimental Results'!AB9</f>
        <v>1.51</v>
      </c>
      <c r="W8" s="420">
        <f>'Calculating beta'!W8</f>
      </c>
      <c r="X8" s="421">
        <f t="shared" si="0"/>
      </c>
      <c r="Y8" s="422">
        <f t="shared" si="1"/>
      </c>
    </row>
    <row r="9" spans="2:25" s="81" customFormat="1" ht="8.25">
      <c r="B9" s="301">
        <v>5</v>
      </c>
      <c r="C9" s="414">
        <f>'Experimental Results'!I10</f>
        <v>1.44</v>
      </c>
      <c r="D9" s="415">
        <f>'Experimental Results'!J10</f>
        <v>1.51</v>
      </c>
      <c r="E9" s="415">
        <f>'Experimental Results'!K10</f>
        <v>1.59</v>
      </c>
      <c r="F9" s="416">
        <f>'Experimental Results'!L10</f>
        <v>1.73</v>
      </c>
      <c r="G9" s="417">
        <f>'Experimental Results'!M10</f>
        <v>1.51</v>
      </c>
      <c r="H9" s="418">
        <f>'Experimental Results'!N10</f>
        <v>1.33</v>
      </c>
      <c r="I9" s="415">
        <f>'Experimental Results'!O10</f>
        <v>1.63</v>
      </c>
      <c r="J9" s="415">
        <f>'Experimental Results'!P10</f>
        <v>1.36</v>
      </c>
      <c r="K9" s="416">
        <f>'Experimental Results'!Q10</f>
        <v>1.41</v>
      </c>
      <c r="L9" s="419">
        <f>'Experimental Results'!R10</f>
        <v>1.5</v>
      </c>
      <c r="M9" s="414">
        <f>'Experimental Results'!S10</f>
        <v>2.16</v>
      </c>
      <c r="N9" s="415">
        <f>'Experimental Results'!T10</f>
        <v>2</v>
      </c>
      <c r="O9" s="415">
        <f>'Experimental Results'!U10</f>
        <v>2.02</v>
      </c>
      <c r="P9" s="416">
        <f>'Experimental Results'!V10</f>
        <v>2.06</v>
      </c>
      <c r="Q9" s="417">
        <f>'Experimental Results'!W10</f>
        <v>1.98</v>
      </c>
      <c r="R9" s="418">
        <f>'Experimental Results'!X10</f>
        <v>2.72</v>
      </c>
      <c r="S9" s="415">
        <f>'Experimental Results'!Y10</f>
        <v>2.35</v>
      </c>
      <c r="T9" s="415">
        <f>'Experimental Results'!Z10</f>
        <v>2.18</v>
      </c>
      <c r="U9" s="416">
        <f>'Experimental Results'!AA10</f>
        <v>2.58</v>
      </c>
      <c r="V9" s="419">
        <f>'Experimental Results'!AB10</f>
        <v>2.38</v>
      </c>
      <c r="W9" s="420">
        <f>'Calculating beta'!W9</f>
      </c>
      <c r="X9" s="421">
        <f t="shared" si="0"/>
      </c>
      <c r="Y9" s="422">
        <f t="shared" si="1"/>
      </c>
    </row>
    <row r="10" spans="2:25" s="81" customFormat="1" ht="8.25">
      <c r="B10" s="301">
        <v>6</v>
      </c>
      <c r="C10" s="414">
        <f>'Experimental Results'!I11</f>
        <v>1.56</v>
      </c>
      <c r="D10" s="415">
        <f>'Experimental Results'!J11</f>
        <v>1.67</v>
      </c>
      <c r="E10" s="415">
        <f>'Experimental Results'!K11</f>
        <v>1.61</v>
      </c>
      <c r="F10" s="416">
        <f>'Experimental Results'!L11</f>
        <v>1.48</v>
      </c>
      <c r="G10" s="417">
        <f>'Experimental Results'!M11</f>
        <v>1.4</v>
      </c>
      <c r="H10" s="418">
        <f>'Experimental Results'!N11</f>
        <v>1.3</v>
      </c>
      <c r="I10" s="415">
        <f>'Experimental Results'!O11</f>
        <v>1.19</v>
      </c>
      <c r="J10" s="415">
        <f>'Experimental Results'!P11</f>
        <v>1.31</v>
      </c>
      <c r="K10" s="416">
        <f>'Experimental Results'!Q11</f>
        <v>1.46</v>
      </c>
      <c r="L10" s="419">
        <f>'Experimental Results'!R11</f>
        <v>1.21</v>
      </c>
      <c r="M10" s="414">
        <f>'Experimental Results'!S11</f>
        <v>1.97</v>
      </c>
      <c r="N10" s="415">
        <f>'Experimental Results'!T11</f>
        <v>2.05</v>
      </c>
      <c r="O10" s="415">
        <f>'Experimental Results'!U11</f>
        <v>2.11</v>
      </c>
      <c r="P10" s="416">
        <f>'Experimental Results'!V11</f>
        <v>2.02</v>
      </c>
      <c r="Q10" s="417">
        <f>'Experimental Results'!W11</f>
        <v>1.96</v>
      </c>
      <c r="R10" s="418">
        <f>'Experimental Results'!X11</f>
        <v>1.89</v>
      </c>
      <c r="S10" s="415">
        <f>'Experimental Results'!Y11</f>
        <v>1.71</v>
      </c>
      <c r="T10" s="415">
        <f>'Experimental Results'!Z11</f>
        <v>1.87</v>
      </c>
      <c r="U10" s="416">
        <f>'Experimental Results'!AA11</f>
        <v>1.88</v>
      </c>
      <c r="V10" s="419">
        <f>'Experimental Results'!AB11</f>
        <v>1.85</v>
      </c>
      <c r="W10" s="420">
        <f>'Calculating beta'!W10</f>
      </c>
      <c r="X10" s="421">
        <f t="shared" si="0"/>
      </c>
      <c r="Y10" s="422">
        <f t="shared" si="1"/>
      </c>
    </row>
    <row r="11" spans="2:25" s="81" customFormat="1" ht="8.25">
      <c r="B11" s="301">
        <v>7</v>
      </c>
      <c r="C11" s="414">
        <f>'Experimental Results'!I12</f>
        <v>1.19</v>
      </c>
      <c r="D11" s="415">
        <f>'Experimental Results'!J12</f>
        <v>1.34</v>
      </c>
      <c r="E11" s="415">
        <f>'Experimental Results'!K12</f>
        <v>1.04</v>
      </c>
      <c r="F11" s="416">
        <f>'Experimental Results'!L12</f>
        <v>1.19</v>
      </c>
      <c r="G11" s="417">
        <f>'Experimental Results'!M12</f>
        <v>1.14</v>
      </c>
      <c r="H11" s="418">
        <f>'Experimental Results'!N12</f>
        <v>1.02</v>
      </c>
      <c r="I11" s="415">
        <f>'Experimental Results'!O12</f>
        <v>1.01</v>
      </c>
      <c r="J11" s="415">
        <f>'Experimental Results'!P12</f>
        <v>1.04</v>
      </c>
      <c r="K11" s="416">
        <f>'Experimental Results'!Q12</f>
        <v>1.03</v>
      </c>
      <c r="L11" s="419">
        <f>'Experimental Results'!R12</f>
        <v>1.04</v>
      </c>
      <c r="M11" s="414">
        <f>'Experimental Results'!S12</f>
        <v>2.36</v>
      </c>
      <c r="N11" s="415">
        <f>'Experimental Results'!T12</f>
        <v>2.14</v>
      </c>
      <c r="O11" s="415">
        <f>'Experimental Results'!U12</f>
        <v>2.03</v>
      </c>
      <c r="P11" s="416">
        <f>'Experimental Results'!V12</f>
        <v>1.89</v>
      </c>
      <c r="Q11" s="417">
        <f>'Experimental Results'!W12</f>
        <v>2.13</v>
      </c>
      <c r="R11" s="418">
        <f>'Experimental Results'!X12</f>
        <v>1.66</v>
      </c>
      <c r="S11" s="415">
        <f>'Experimental Results'!Y12</f>
        <v>1.53</v>
      </c>
      <c r="T11" s="415">
        <f>'Experimental Results'!Z12</f>
        <v>1.51</v>
      </c>
      <c r="U11" s="416">
        <f>'Experimental Results'!AA12</f>
        <v>1.67</v>
      </c>
      <c r="V11" s="419">
        <f>'Experimental Results'!AB12</f>
        <v>1.58</v>
      </c>
      <c r="W11" s="420">
        <f>'Calculating beta'!W11</f>
      </c>
      <c r="X11" s="421">
        <f t="shared" si="0"/>
      </c>
      <c r="Y11" s="422">
        <f t="shared" si="1"/>
      </c>
    </row>
    <row r="12" spans="2:25" s="81" customFormat="1" ht="9" thickBot="1">
      <c r="B12" s="302">
        <v>8</v>
      </c>
      <c r="C12" s="423">
        <f>'Experimental Results'!I13</f>
        <v>1.36</v>
      </c>
      <c r="D12" s="424">
        <f>'Experimental Results'!J13</f>
        <v>1.4</v>
      </c>
      <c r="E12" s="424">
        <f>'Experimental Results'!K13</f>
        <v>1.33</v>
      </c>
      <c r="F12" s="425">
        <f>'Experimental Results'!L13</f>
        <v>1.33</v>
      </c>
      <c r="G12" s="426">
        <f>'Experimental Results'!M13</f>
        <v>1.26</v>
      </c>
      <c r="H12" s="427">
        <f>'Experimental Results'!N13</f>
        <v>1.16</v>
      </c>
      <c r="I12" s="424">
        <f>'Experimental Results'!O13</f>
        <v>1.17</v>
      </c>
      <c r="J12" s="424">
        <f>'Experimental Results'!P13</f>
        <v>1.28</v>
      </c>
      <c r="K12" s="425">
        <f>'Experimental Results'!Q13</f>
        <v>1.26</v>
      </c>
      <c r="L12" s="428">
        <f>'Experimental Results'!R13</f>
        <v>1.28</v>
      </c>
      <c r="M12" s="423">
        <f>'Experimental Results'!S13</f>
        <v>1.8</v>
      </c>
      <c r="N12" s="424">
        <f>'Experimental Results'!T13</f>
        <v>1.78</v>
      </c>
      <c r="O12" s="424">
        <f>'Experimental Results'!U13</f>
        <v>1.99</v>
      </c>
      <c r="P12" s="425">
        <f>'Experimental Results'!V13</f>
        <v>1.84</v>
      </c>
      <c r="Q12" s="426">
        <f>'Experimental Results'!W13</f>
        <v>1.97</v>
      </c>
      <c r="R12" s="427">
        <f>'Experimental Results'!X13</f>
        <v>1.74</v>
      </c>
      <c r="S12" s="424">
        <f>'Experimental Results'!Y13</f>
        <v>1.87</v>
      </c>
      <c r="T12" s="424">
        <f>'Experimental Results'!Z13</f>
        <v>1.88</v>
      </c>
      <c r="U12" s="425">
        <f>'Experimental Results'!AA13</f>
        <v>1.86</v>
      </c>
      <c r="V12" s="428">
        <f>'Experimental Results'!AB13</f>
        <v>1.84</v>
      </c>
      <c r="W12" s="429">
        <f>'Calculating beta'!W12</f>
      </c>
      <c r="X12" s="430">
        <f t="shared" si="0"/>
      </c>
      <c r="Y12" s="431">
        <f t="shared" si="1"/>
      </c>
    </row>
    <row r="13" spans="2:25" s="81" customFormat="1" ht="20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33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317"/>
      <c r="X13" s="490">
        <f>IF(ISBLANK(X5),"",IF(X5=(SUM(C18:V18)/(COUNT(C18:V18)-1)),"","## MSE ERROR ##"))</f>
      </c>
      <c r="Y13" s="491">
        <f>IF(ISBLANK(Y5),"",IF(Y5=(10*LOG(W5^2/X5)),"","## S/N ERROR ##"))</f>
      </c>
    </row>
    <row r="14" spans="2:23" s="186" customFormat="1" ht="18.75">
      <c r="B14" s="300" t="s">
        <v>22</v>
      </c>
      <c r="C14" s="434">
        <f aca="true" t="shared" si="2" ref="C14:V14">C5</f>
        <v>1.23</v>
      </c>
      <c r="D14" s="435">
        <f t="shared" si="2"/>
        <v>1.4</v>
      </c>
      <c r="E14" s="435">
        <f t="shared" si="2"/>
        <v>1.3</v>
      </c>
      <c r="F14" s="435">
        <f t="shared" si="2"/>
        <v>1.41</v>
      </c>
      <c r="G14" s="435">
        <f t="shared" si="2"/>
        <v>1.46</v>
      </c>
      <c r="H14" s="434">
        <f t="shared" si="2"/>
        <v>1.11</v>
      </c>
      <c r="I14" s="435">
        <f t="shared" si="2"/>
        <v>1.08</v>
      </c>
      <c r="J14" s="435">
        <f t="shared" si="2"/>
        <v>1.16</v>
      </c>
      <c r="K14" s="435">
        <f t="shared" si="2"/>
        <v>1.19</v>
      </c>
      <c r="L14" s="436">
        <f t="shared" si="2"/>
        <v>1.22</v>
      </c>
      <c r="M14" s="434">
        <f t="shared" si="2"/>
        <v>2.24</v>
      </c>
      <c r="N14" s="435">
        <f t="shared" si="2"/>
        <v>1.98</v>
      </c>
      <c r="O14" s="435">
        <f t="shared" si="2"/>
        <v>2.34</v>
      </c>
      <c r="P14" s="435">
        <f t="shared" si="2"/>
        <v>2.06</v>
      </c>
      <c r="Q14" s="435">
        <f t="shared" si="2"/>
        <v>2.22</v>
      </c>
      <c r="R14" s="434">
        <f t="shared" si="2"/>
        <v>1.8</v>
      </c>
      <c r="S14" s="435">
        <f t="shared" si="2"/>
        <v>1.89</v>
      </c>
      <c r="T14" s="435">
        <f t="shared" si="2"/>
        <v>1.85</v>
      </c>
      <c r="U14" s="435">
        <f t="shared" si="2"/>
        <v>1.92</v>
      </c>
      <c r="V14" s="436">
        <f t="shared" si="2"/>
        <v>1.88</v>
      </c>
      <c r="W14" s="2"/>
    </row>
    <row r="15" spans="2:23" s="186" customFormat="1" ht="18.75">
      <c r="B15" s="300" t="s">
        <v>23</v>
      </c>
      <c r="C15" s="437">
        <f aca="true" t="shared" si="3" ref="C15:L15">$H$3</f>
        <v>57</v>
      </c>
      <c r="D15" s="438">
        <f t="shared" si="3"/>
        <v>57</v>
      </c>
      <c r="E15" s="438">
        <f t="shared" si="3"/>
        <v>57</v>
      </c>
      <c r="F15" s="438">
        <f t="shared" si="3"/>
        <v>57</v>
      </c>
      <c r="G15" s="438">
        <f t="shared" si="3"/>
        <v>57</v>
      </c>
      <c r="H15" s="437">
        <f t="shared" si="3"/>
        <v>57</v>
      </c>
      <c r="I15" s="438">
        <f t="shared" si="3"/>
        <v>57</v>
      </c>
      <c r="J15" s="438">
        <f t="shared" si="3"/>
        <v>57</v>
      </c>
      <c r="K15" s="438">
        <f t="shared" si="3"/>
        <v>57</v>
      </c>
      <c r="L15" s="439">
        <f t="shared" si="3"/>
        <v>57</v>
      </c>
      <c r="M15" s="437">
        <f aca="true" t="shared" si="4" ref="M15:V15">$R$3</f>
        <v>82</v>
      </c>
      <c r="N15" s="438">
        <f t="shared" si="4"/>
        <v>82</v>
      </c>
      <c r="O15" s="438">
        <f t="shared" si="4"/>
        <v>82</v>
      </c>
      <c r="P15" s="438">
        <f t="shared" si="4"/>
        <v>82</v>
      </c>
      <c r="Q15" s="438">
        <f t="shared" si="4"/>
        <v>82</v>
      </c>
      <c r="R15" s="437">
        <f t="shared" si="4"/>
        <v>82</v>
      </c>
      <c r="S15" s="438">
        <f t="shared" si="4"/>
        <v>82</v>
      </c>
      <c r="T15" s="438">
        <f t="shared" si="4"/>
        <v>82</v>
      </c>
      <c r="U15" s="438">
        <f t="shared" si="4"/>
        <v>82</v>
      </c>
      <c r="V15" s="439">
        <f t="shared" si="4"/>
        <v>82</v>
      </c>
      <c r="W15" s="2"/>
    </row>
    <row r="16" spans="2:24" s="186" customFormat="1" ht="18.75">
      <c r="B16" s="299" t="s">
        <v>26</v>
      </c>
      <c r="C16" s="448"/>
      <c r="D16" s="440">
        <f aca="true" t="shared" si="5" ref="D16:Q16">IF(OR(ISBLANK($W16),ISBLANK($C16),ISBLANK($R16)),"",$W$5*D15)</f>
      </c>
      <c r="E16" s="440">
        <f t="shared" si="5"/>
      </c>
      <c r="F16" s="440">
        <f t="shared" si="5"/>
      </c>
      <c r="G16" s="440">
        <f t="shared" si="5"/>
      </c>
      <c r="H16" s="441">
        <f t="shared" si="5"/>
      </c>
      <c r="I16" s="440">
        <f t="shared" si="5"/>
      </c>
      <c r="J16" s="440">
        <f t="shared" si="5"/>
      </c>
      <c r="K16" s="440">
        <f t="shared" si="5"/>
      </c>
      <c r="L16" s="440">
        <f t="shared" si="5"/>
      </c>
      <c r="M16" s="441">
        <f t="shared" si="5"/>
      </c>
      <c r="N16" s="440">
        <f t="shared" si="5"/>
      </c>
      <c r="O16" s="440">
        <f t="shared" si="5"/>
      </c>
      <c r="P16" s="440">
        <f t="shared" si="5"/>
      </c>
      <c r="Q16" s="440">
        <f t="shared" si="5"/>
      </c>
      <c r="R16" s="448"/>
      <c r="S16" s="440">
        <f>IF(OR(ISBLANK($W16),ISBLANK($C16),ISBLANK($R16)),"",$W$5*S15)</f>
      </c>
      <c r="T16" s="440">
        <f>IF(OR(ISBLANK($W16),ISBLANK($C16),ISBLANK($R16)),"",$W$5*T15)</f>
      </c>
      <c r="U16" s="440">
        <f>IF(OR(ISBLANK($W16),ISBLANK($C16),ISBLANK($R16)),"",$W$5*U15)</f>
      </c>
      <c r="V16" s="442">
        <f>IF(OR(ISBLANK($W16),ISBLANK($C16),ISBLANK($R16)),"",$W$5*V15)</f>
      </c>
      <c r="W16" s="447"/>
      <c r="X16" s="492">
        <f>IF(OR(ISBLANK(C16),ISBLANK(R16)),"",IF(AND(C16=W5*C15,R16=W5*R15),"","## ERROR in C16 or R16 ##"))</f>
      </c>
    </row>
    <row r="17" spans="2:24" ht="18.75">
      <c r="B17" s="300" t="s">
        <v>27</v>
      </c>
      <c r="C17" s="448"/>
      <c r="D17" s="440">
        <f aca="true" t="shared" si="6" ref="D17:Q17">IF(OR(ISBLANK($W17),ISBLANK($C17),ISBLANK($R17)),"",D14-D16)</f>
      </c>
      <c r="E17" s="440">
        <f t="shared" si="6"/>
      </c>
      <c r="F17" s="440">
        <f t="shared" si="6"/>
      </c>
      <c r="G17" s="440">
        <f t="shared" si="6"/>
      </c>
      <c r="H17" s="441">
        <f t="shared" si="6"/>
      </c>
      <c r="I17" s="440">
        <f t="shared" si="6"/>
      </c>
      <c r="J17" s="440">
        <f t="shared" si="6"/>
      </c>
      <c r="K17" s="440">
        <f t="shared" si="6"/>
      </c>
      <c r="L17" s="440">
        <f t="shared" si="6"/>
      </c>
      <c r="M17" s="441">
        <f t="shared" si="6"/>
      </c>
      <c r="N17" s="440">
        <f t="shared" si="6"/>
      </c>
      <c r="O17" s="440">
        <f t="shared" si="6"/>
      </c>
      <c r="P17" s="440">
        <f t="shared" si="6"/>
      </c>
      <c r="Q17" s="440">
        <f t="shared" si="6"/>
      </c>
      <c r="R17" s="448"/>
      <c r="S17" s="440">
        <f>IF(OR(ISBLANK($W17),ISBLANK($C17),ISBLANK($R17)),"",S14-S16)</f>
      </c>
      <c r="T17" s="440">
        <f>IF(OR(ISBLANK($W17),ISBLANK($C17),ISBLANK($R17)),"",T14-T16)</f>
      </c>
      <c r="U17" s="440">
        <f>IF(OR(ISBLANK($W17),ISBLANK($C17),ISBLANK($R17)),"",U14-U16)</f>
      </c>
      <c r="V17" s="442">
        <f>IF(OR(ISBLANK($W17),ISBLANK($C17),ISBLANK($R17)),"",V14-V16)</f>
      </c>
      <c r="W17" s="447"/>
      <c r="X17" s="492">
        <f>IF(OR(ISBLANK(C17),ISBLANK(R17)),"",IF(AND(C17=(C14-C16),R17=(R14-R16)),"","## ERROR in C17 or R17 ##"))</f>
      </c>
    </row>
    <row r="18" spans="2:24" ht="19.5" thickBot="1">
      <c r="B18" s="300" t="s">
        <v>28</v>
      </c>
      <c r="C18" s="449"/>
      <c r="D18" s="443">
        <f aca="true" t="shared" si="7" ref="D18:Q18">IF(OR(ISBLANK($W18),ISBLANK($C18),ISBLANK($R18)),"",D17^2)</f>
      </c>
      <c r="E18" s="443">
        <f t="shared" si="7"/>
      </c>
      <c r="F18" s="443">
        <f t="shared" si="7"/>
      </c>
      <c r="G18" s="443">
        <f t="shared" si="7"/>
      </c>
      <c r="H18" s="444">
        <f t="shared" si="7"/>
      </c>
      <c r="I18" s="443">
        <f t="shared" si="7"/>
      </c>
      <c r="J18" s="443">
        <f t="shared" si="7"/>
      </c>
      <c r="K18" s="443">
        <f t="shared" si="7"/>
      </c>
      <c r="L18" s="443">
        <f t="shared" si="7"/>
      </c>
      <c r="M18" s="444">
        <f t="shared" si="7"/>
      </c>
      <c r="N18" s="443">
        <f t="shared" si="7"/>
      </c>
      <c r="O18" s="443">
        <f t="shared" si="7"/>
      </c>
      <c r="P18" s="443">
        <f t="shared" si="7"/>
      </c>
      <c r="Q18" s="443">
        <f t="shared" si="7"/>
      </c>
      <c r="R18" s="449"/>
      <c r="S18" s="443">
        <f>IF(OR(ISBLANK($W18),ISBLANK($C18),ISBLANK($R18)),"",S17^2)</f>
      </c>
      <c r="T18" s="443">
        <f>IF(OR(ISBLANK($W18),ISBLANK($C18),ISBLANK($R18)),"",T17^2)</f>
      </c>
      <c r="U18" s="443">
        <f>IF(OR(ISBLANK($W18),ISBLANK($C18),ISBLANK($R18)),"",U17^2)</f>
      </c>
      <c r="V18" s="445">
        <f>IF(OR(ISBLANK($W18),ISBLANK($C18),ISBLANK($R18)),"",V17^2)</f>
      </c>
      <c r="W18" s="447"/>
      <c r="X18" s="492">
        <f>IF(OR(ISBLANK(C18),ISBLANK(R18)),"",IF(AND(C18=C17^2,R18=R17^2),"","## ERROR in C18 or R18 ##"))</f>
      </c>
    </row>
    <row r="19" spans="2:9" ht="12.75">
      <c r="B19" s="72"/>
      <c r="C19" s="2"/>
      <c r="D19" s="2"/>
      <c r="E19" s="2"/>
      <c r="F19" s="2"/>
      <c r="G19" s="2"/>
      <c r="H19" s="2"/>
      <c r="I19" s="2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H15" sqref="H15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8" customFormat="1" ht="15.75">
      <c r="A1" s="383" t="s">
        <v>0</v>
      </c>
    </row>
    <row r="2" spans="1:8" ht="13.5" thickBot="1">
      <c r="A2" s="19"/>
      <c r="C2" s="1"/>
      <c r="F2" s="1"/>
      <c r="G2" s="1"/>
      <c r="H2" s="22"/>
    </row>
    <row r="3" spans="1:10" ht="24.75" customHeight="1" thickBot="1">
      <c r="A3" s="331" t="s">
        <v>29</v>
      </c>
      <c r="B3" s="332" t="str">
        <f>'Experimental Plan'!B12</f>
        <v>c1</v>
      </c>
      <c r="C3" s="333" t="str">
        <f>'Experimental Plan'!C12</f>
        <v>c2</v>
      </c>
      <c r="D3" s="334" t="str">
        <f>'Experimental Plan'!D12</f>
        <v>c3</v>
      </c>
      <c r="E3" s="333" t="str">
        <f>'Experimental Plan'!E12</f>
        <v>c4</v>
      </c>
      <c r="F3" s="334" t="str">
        <f>'Experimental Plan'!F12</f>
        <v>c5</v>
      </c>
      <c r="G3" s="334" t="str">
        <f>'Experimental Plan'!G12</f>
        <v>c6</v>
      </c>
      <c r="H3" s="335" t="str">
        <f>'Experimental Plan'!H12</f>
        <v>c7</v>
      </c>
      <c r="I3" s="336" t="s">
        <v>18</v>
      </c>
      <c r="J3" s="337" t="s">
        <v>20</v>
      </c>
    </row>
    <row r="4" spans="1:16" ht="12.75">
      <c r="A4" s="4">
        <v>1</v>
      </c>
      <c r="B4" s="118" t="s">
        <v>30</v>
      </c>
      <c r="C4" s="123" t="s">
        <v>30</v>
      </c>
      <c r="D4" s="123" t="s">
        <v>30</v>
      </c>
      <c r="E4" s="123" t="s">
        <v>30</v>
      </c>
      <c r="F4" s="123" t="s">
        <v>30</v>
      </c>
      <c r="G4" s="123" t="s">
        <v>30</v>
      </c>
      <c r="H4" s="124" t="s">
        <v>30</v>
      </c>
      <c r="I4" s="390">
        <f>'Calculating MSE and S|N'!W5</f>
        <v>0</v>
      </c>
      <c r="J4" s="391">
        <f>'Calculating MSE and S|N'!Y5</f>
        <v>0</v>
      </c>
      <c r="L4" s="392"/>
      <c r="M4" s="271"/>
      <c r="N4" s="272"/>
      <c r="P4" s="271"/>
    </row>
    <row r="5" spans="1:16" ht="12.75">
      <c r="A5" s="4">
        <v>2</v>
      </c>
      <c r="B5" s="119" t="s">
        <v>30</v>
      </c>
      <c r="C5" s="122" t="s">
        <v>30</v>
      </c>
      <c r="D5" s="122" t="s">
        <v>30</v>
      </c>
      <c r="E5" s="122" t="s">
        <v>31</v>
      </c>
      <c r="F5" s="122" t="s">
        <v>31</v>
      </c>
      <c r="G5" s="122" t="s">
        <v>31</v>
      </c>
      <c r="H5" s="125" t="s">
        <v>31</v>
      </c>
      <c r="I5" s="393">
        <f>'Calculating MSE and S|N'!W6</f>
      </c>
      <c r="J5" s="394">
        <f>'Calculating MSE and S|N'!Y6</f>
      </c>
      <c r="L5" s="392"/>
      <c r="M5" s="271"/>
      <c r="N5" s="272"/>
      <c r="P5" s="271"/>
    </row>
    <row r="6" spans="1:16" ht="12.75">
      <c r="A6" s="4">
        <v>3</v>
      </c>
      <c r="B6" s="119" t="s">
        <v>30</v>
      </c>
      <c r="C6" s="122" t="s">
        <v>31</v>
      </c>
      <c r="D6" s="122" t="s">
        <v>31</v>
      </c>
      <c r="E6" s="122" t="s">
        <v>30</v>
      </c>
      <c r="F6" s="122" t="s">
        <v>30</v>
      </c>
      <c r="G6" s="122" t="s">
        <v>31</v>
      </c>
      <c r="H6" s="125" t="s">
        <v>31</v>
      </c>
      <c r="I6" s="393">
        <f>'Calculating MSE and S|N'!W7</f>
      </c>
      <c r="J6" s="394">
        <f>'Calculating MSE and S|N'!Y7</f>
      </c>
      <c r="L6" s="392"/>
      <c r="M6" s="271"/>
      <c r="N6" s="272"/>
      <c r="P6" s="271"/>
    </row>
    <row r="7" spans="1:16" ht="12.75">
      <c r="A7" s="4">
        <v>4</v>
      </c>
      <c r="B7" s="119" t="s">
        <v>30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30</v>
      </c>
      <c r="H7" s="125" t="s">
        <v>30</v>
      </c>
      <c r="I7" s="393">
        <f>'Calculating MSE and S|N'!W8</f>
      </c>
      <c r="J7" s="394">
        <f>'Calculating MSE and S|N'!Y8</f>
      </c>
      <c r="L7" s="392"/>
      <c r="M7" s="271"/>
      <c r="N7" s="272"/>
      <c r="P7" s="271"/>
    </row>
    <row r="8" spans="1:16" ht="12.75">
      <c r="A8" s="4">
        <v>5</v>
      </c>
      <c r="B8" s="119" t="s">
        <v>31</v>
      </c>
      <c r="C8" s="122" t="s">
        <v>30</v>
      </c>
      <c r="D8" s="122" t="s">
        <v>31</v>
      </c>
      <c r="E8" s="122" t="s">
        <v>30</v>
      </c>
      <c r="F8" s="122" t="s">
        <v>31</v>
      </c>
      <c r="G8" s="122" t="s">
        <v>30</v>
      </c>
      <c r="H8" s="125" t="s">
        <v>31</v>
      </c>
      <c r="I8" s="393">
        <f>'Calculating MSE and S|N'!W9</f>
      </c>
      <c r="J8" s="394">
        <f>'Calculating MSE and S|N'!Y9</f>
      </c>
      <c r="L8" s="392"/>
      <c r="M8" s="271"/>
      <c r="N8" s="272"/>
      <c r="P8" s="271"/>
    </row>
    <row r="9" spans="1:16" ht="12.75">
      <c r="A9" s="4">
        <v>6</v>
      </c>
      <c r="B9" s="119" t="s">
        <v>31</v>
      </c>
      <c r="C9" s="122" t="s">
        <v>30</v>
      </c>
      <c r="D9" s="122" t="s">
        <v>31</v>
      </c>
      <c r="E9" s="122" t="s">
        <v>31</v>
      </c>
      <c r="F9" s="122" t="s">
        <v>30</v>
      </c>
      <c r="G9" s="122" t="s">
        <v>31</v>
      </c>
      <c r="H9" s="125" t="s">
        <v>30</v>
      </c>
      <c r="I9" s="393">
        <f>'Calculating MSE and S|N'!W10</f>
      </c>
      <c r="J9" s="394">
        <f>'Calculating MSE and S|N'!Y10</f>
      </c>
      <c r="L9" s="392"/>
      <c r="M9" s="271"/>
      <c r="N9" s="272"/>
      <c r="P9" s="271"/>
    </row>
    <row r="10" spans="1:16" ht="12.75">
      <c r="A10" s="4">
        <v>7</v>
      </c>
      <c r="B10" s="119" t="s">
        <v>31</v>
      </c>
      <c r="C10" s="122" t="s">
        <v>31</v>
      </c>
      <c r="D10" s="122" t="s">
        <v>30</v>
      </c>
      <c r="E10" s="122" t="s">
        <v>30</v>
      </c>
      <c r="F10" s="122" t="s">
        <v>31</v>
      </c>
      <c r="G10" s="122" t="s">
        <v>31</v>
      </c>
      <c r="H10" s="125" t="s">
        <v>30</v>
      </c>
      <c r="I10" s="393">
        <f>'Calculating MSE and S|N'!W11</f>
      </c>
      <c r="J10" s="394">
        <f>'Calculating MSE and S|N'!Y11</f>
      </c>
      <c r="L10" s="392"/>
      <c r="M10" s="271"/>
      <c r="N10" s="272"/>
      <c r="P10" s="271"/>
    </row>
    <row r="11" spans="1:16" ht="13.5" thickBot="1">
      <c r="A11" s="3">
        <v>8</v>
      </c>
      <c r="B11" s="120" t="s">
        <v>31</v>
      </c>
      <c r="C11" s="121" t="s">
        <v>31</v>
      </c>
      <c r="D11" s="121" t="s">
        <v>30</v>
      </c>
      <c r="E11" s="121" t="s">
        <v>31</v>
      </c>
      <c r="F11" s="121" t="s">
        <v>30</v>
      </c>
      <c r="G11" s="121" t="s">
        <v>30</v>
      </c>
      <c r="H11" s="126" t="s">
        <v>31</v>
      </c>
      <c r="I11" s="395">
        <f>'Calculating MSE and S|N'!W12</f>
      </c>
      <c r="J11" s="396">
        <f>'Calculating MSE and S|N'!Y12</f>
      </c>
      <c r="L11" s="392"/>
      <c r="M11" s="271"/>
      <c r="N11" s="272"/>
      <c r="P11" s="271"/>
    </row>
    <row r="12" spans="1:16" ht="19.5">
      <c r="A12" s="29"/>
      <c r="B12" s="122"/>
      <c r="C12" s="122"/>
      <c r="D12" s="122"/>
      <c r="E12" s="122"/>
      <c r="F12" s="122"/>
      <c r="H12" s="2" t="s">
        <v>32</v>
      </c>
      <c r="I12" s="188" t="s">
        <v>33</v>
      </c>
      <c r="J12" s="397" t="s">
        <v>34</v>
      </c>
      <c r="P12" s="271"/>
    </row>
    <row r="13" spans="1:23" s="32" customFormat="1" ht="12.75">
      <c r="A13" s="14" t="s">
        <v>35</v>
      </c>
      <c r="B13" s="338"/>
      <c r="C13" s="338"/>
      <c r="D13" s="338"/>
      <c r="E13" s="338"/>
      <c r="F13" s="338"/>
      <c r="G13" s="338"/>
      <c r="H13" s="338"/>
      <c r="I13" s="398">
        <f>AVERAGE(I4:I11)</f>
        <v>0</v>
      </c>
      <c r="J13" s="399">
        <f>AVERAGE(J4:J11)</f>
        <v>0</v>
      </c>
      <c r="K13" s="400"/>
      <c r="L13" s="401"/>
      <c r="M13" s="400"/>
      <c r="N13" s="400"/>
      <c r="O13" s="401"/>
      <c r="P13" s="400"/>
      <c r="Q13" s="400"/>
      <c r="R13" s="401"/>
      <c r="S13" s="400"/>
      <c r="T13" s="400"/>
      <c r="U13" s="400"/>
      <c r="V13" s="400"/>
      <c r="W13" s="400"/>
    </row>
    <row r="14" spans="1:18" s="128" customFormat="1" ht="13.5" thickBot="1">
      <c r="A14" s="127"/>
      <c r="B14" s="339" t="str">
        <f aca="true" t="shared" si="0" ref="B14:H14">B3</f>
        <v>c1</v>
      </c>
      <c r="C14" s="339" t="str">
        <f t="shared" si="0"/>
        <v>c2</v>
      </c>
      <c r="D14" s="340" t="str">
        <f t="shared" si="0"/>
        <v>c3</v>
      </c>
      <c r="E14" s="339" t="str">
        <f t="shared" si="0"/>
        <v>c4</v>
      </c>
      <c r="F14" s="340" t="str">
        <f t="shared" si="0"/>
        <v>c5</v>
      </c>
      <c r="G14" s="340" t="str">
        <f t="shared" si="0"/>
        <v>c6</v>
      </c>
      <c r="H14" s="339" t="str">
        <f t="shared" si="0"/>
        <v>c7</v>
      </c>
      <c r="I14" s="402"/>
      <c r="L14" s="402"/>
      <c r="O14" s="402"/>
      <c r="R14" s="402"/>
    </row>
    <row r="15" spans="1:17" ht="12.75">
      <c r="A15" s="29" t="s">
        <v>36</v>
      </c>
      <c r="B15" s="189">
        <f aca="true" t="shared" si="1" ref="B15:G15">IF(OR(ISBLANK($I$15),ISBLANK($H15)),"",SUMIF(B$4:B$11,"1",$J$4:$J$11)/COUNTIF(B$4:B$11,"1"))</f>
      </c>
      <c r="C15" s="190">
        <f t="shared" si="1"/>
      </c>
      <c r="D15" s="190">
        <f t="shared" si="1"/>
      </c>
      <c r="E15" s="190">
        <f t="shared" si="1"/>
      </c>
      <c r="F15" s="190">
        <f t="shared" si="1"/>
      </c>
      <c r="G15" s="190">
        <f t="shared" si="1"/>
      </c>
      <c r="H15" s="191"/>
      <c r="I15" s="12"/>
      <c r="N15" s="32"/>
      <c r="O15" s="32"/>
      <c r="P15" s="32"/>
      <c r="Q15" s="32"/>
    </row>
    <row r="16" spans="1:9" ht="13.5" thickBot="1">
      <c r="A16" s="29" t="s">
        <v>37</v>
      </c>
      <c r="B16" s="192">
        <f aca="true" t="shared" si="2" ref="B16:G16">IF(OR(ISBLANK($I$15),ISBLANK($H16)),"",SUMIF(B$4:B$11,"2",$J$4:$J$11)/COUNTIF(B$4:B$11,"2"))</f>
      </c>
      <c r="C16" s="193">
        <f t="shared" si="2"/>
      </c>
      <c r="D16" s="193">
        <f t="shared" si="2"/>
      </c>
      <c r="E16" s="193">
        <f t="shared" si="2"/>
      </c>
      <c r="F16" s="193">
        <f t="shared" si="2"/>
      </c>
      <c r="G16" s="193">
        <f t="shared" si="2"/>
      </c>
      <c r="H16" s="194"/>
      <c r="I16" s="493">
        <f>IF(OR(ISBLANK(H15),ISBLANK(H16)),"",IF(AND(H15=AVERAGE(J4,J7,J9,J10),H16=AVERAGE(J5,J6,J8,J11)),"","## ERROR in H15 or H16 ##"))</f>
      </c>
    </row>
    <row r="17" spans="1:9" ht="14.25" thickBot="1" thickTop="1">
      <c r="A17" s="29" t="s">
        <v>38</v>
      </c>
      <c r="B17" s="195">
        <f aca="true" t="shared" si="3" ref="B17:H17">IF(OR(ISBLANK($I$15),ISBLANK($H16)),"",B15-B16)</f>
      </c>
      <c r="C17" s="196">
        <f t="shared" si="3"/>
      </c>
      <c r="D17" s="196">
        <f t="shared" si="3"/>
      </c>
      <c r="E17" s="196">
        <f t="shared" si="3"/>
      </c>
      <c r="F17" s="196">
        <f t="shared" si="3"/>
      </c>
      <c r="G17" s="196">
        <f t="shared" si="3"/>
      </c>
      <c r="H17" s="197">
        <f t="shared" si="3"/>
      </c>
      <c r="I17" s="5"/>
    </row>
    <row r="18" spans="1:9" ht="18" customHeight="1" thickBot="1">
      <c r="A18" s="14" t="s">
        <v>39</v>
      </c>
      <c r="B18" s="338"/>
      <c r="C18" s="338"/>
      <c r="D18" s="338"/>
      <c r="E18" s="338"/>
      <c r="F18" s="338"/>
      <c r="G18" s="338"/>
      <c r="H18" s="338"/>
      <c r="I18" s="403"/>
    </row>
    <row r="19" spans="1:9" ht="12.75">
      <c r="A19" s="29" t="s">
        <v>36</v>
      </c>
      <c r="B19" s="198">
        <f aca="true" t="shared" si="4" ref="B19:G19">IF(OR(ISBLANK($I$19),ISBLANK($H19)),"",SUMIF(B$4:B$11,"1",$I$4:$I$11)/COUNTIF(B$4:B$11,"1"))</f>
      </c>
      <c r="C19" s="199">
        <f t="shared" si="4"/>
      </c>
      <c r="D19" s="199">
        <f t="shared" si="4"/>
      </c>
      <c r="E19" s="199">
        <f t="shared" si="4"/>
      </c>
      <c r="F19" s="199">
        <f t="shared" si="4"/>
      </c>
      <c r="G19" s="199">
        <f t="shared" si="4"/>
      </c>
      <c r="H19" s="200"/>
      <c r="I19" s="12"/>
    </row>
    <row r="20" spans="1:9" ht="13.5" thickBot="1">
      <c r="A20" s="29" t="s">
        <v>37</v>
      </c>
      <c r="B20" s="201">
        <f aca="true" t="shared" si="5" ref="B20:G20">IF(OR(ISBLANK($I$19),ISBLANK($H20)),"",SUMIF(B$4:B$11,"2",$I$4:$I$11)/COUNTIF(B$4:B$11,"2"))</f>
      </c>
      <c r="C20" s="202">
        <f t="shared" si="5"/>
      </c>
      <c r="D20" s="202">
        <f t="shared" si="5"/>
      </c>
      <c r="E20" s="202">
        <f t="shared" si="5"/>
      </c>
      <c r="F20" s="202">
        <f t="shared" si="5"/>
      </c>
      <c r="G20" s="202">
        <f t="shared" si="5"/>
      </c>
      <c r="H20" s="203"/>
      <c r="I20" s="494">
        <f>IF(OR(ISBLANK(H19),ISBLANK(H20)),"",IF(AND(H19=AVERAGE(I4,I7,I9:I10),H20=AVERAGE(I5:I6,I8,I11)),"","## ERROR in H19 or H20 ##"))</f>
      </c>
    </row>
    <row r="21" spans="1:9" ht="14.25" thickBot="1" thickTop="1">
      <c r="A21" s="29" t="s">
        <v>38</v>
      </c>
      <c r="B21" s="204">
        <f>IF(OR(ISBLANK($I$19),ISBLANK($H20)),"",B19-B20)</f>
      </c>
      <c r="C21" s="205">
        <f aca="true" t="shared" si="6" ref="C21:H21">IF(OR(ISBLANK($I$19),ISBLANK($H20)),"",C19-C20)</f>
      </c>
      <c r="D21" s="205">
        <f t="shared" si="6"/>
      </c>
      <c r="E21" s="205">
        <f t="shared" si="6"/>
      </c>
      <c r="F21" s="205">
        <f t="shared" si="6"/>
      </c>
      <c r="G21" s="205">
        <f t="shared" si="6"/>
      </c>
      <c r="H21" s="206">
        <f t="shared" si="6"/>
      </c>
      <c r="I21" s="5"/>
    </row>
    <row r="23" ht="12.75">
      <c r="A23" s="1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8">
      <selection activeCell="A1" sqref="A1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138" customWidth="1"/>
    <col min="16" max="16" width="4.140625" style="215" customWidth="1"/>
    <col min="17" max="16384" width="8.8515625" style="2" customWidth="1"/>
  </cols>
  <sheetData>
    <row r="1" spans="1:16" ht="15.75">
      <c r="A1" s="15" t="s">
        <v>0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5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6"/>
      <c r="L11" s="2"/>
      <c r="M11" s="2"/>
      <c r="N11" s="2"/>
      <c r="O11" s="2"/>
      <c r="P11" s="2"/>
    </row>
    <row r="12" spans="9:16" ht="12.75">
      <c r="I12" s="6"/>
      <c r="L12" s="2"/>
      <c r="M12" s="2"/>
      <c r="N12" s="2"/>
      <c r="O12" s="2"/>
      <c r="P12" s="2"/>
    </row>
    <row r="13" spans="9:16" ht="12.75">
      <c r="I13" s="6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321" t="s">
        <v>40</v>
      </c>
      <c r="B21" s="322"/>
      <c r="C21" s="322"/>
      <c r="D21" s="322"/>
      <c r="E21" s="322"/>
      <c r="F21" s="322"/>
      <c r="G21" s="322"/>
      <c r="H21" s="323"/>
      <c r="I21" s="17"/>
      <c r="J21" s="17"/>
      <c r="L21" s="2"/>
      <c r="M21" s="2"/>
      <c r="N21" s="2"/>
      <c r="O21" s="2"/>
      <c r="P21" s="2"/>
    </row>
    <row r="22" spans="1:16" ht="15">
      <c r="A22" s="312" t="s">
        <v>41</v>
      </c>
      <c r="B22" s="321"/>
      <c r="C22" s="322"/>
      <c r="D22" s="322"/>
      <c r="E22" s="322"/>
      <c r="F22" s="322"/>
      <c r="G22" s="322"/>
      <c r="H22" s="323"/>
      <c r="I22" s="17"/>
      <c r="J22" s="17"/>
      <c r="L22" s="2"/>
      <c r="M22" s="2"/>
      <c r="N22" s="2"/>
      <c r="O22" s="2"/>
      <c r="P22" s="2"/>
    </row>
    <row r="23" spans="1:16" ht="12.75">
      <c r="A23" s="80"/>
      <c r="B23" s="80"/>
      <c r="D23" s="114">
        <f>'Experimental Plan'!B7</f>
        <v>0</v>
      </c>
      <c r="E23" s="114">
        <f>'Experimental Plan'!C7</f>
        <v>0</v>
      </c>
      <c r="F23" s="114">
        <f>'Experimental Plan'!E7</f>
        <v>0</v>
      </c>
      <c r="G23" s="114">
        <f>'Experimental Plan'!H7</f>
        <v>0</v>
      </c>
      <c r="H23" s="17"/>
      <c r="I23" s="17"/>
      <c r="J23" s="17"/>
      <c r="L23" s="2"/>
      <c r="M23" s="2"/>
      <c r="N23" s="2"/>
      <c r="O23" s="2"/>
      <c r="P23" s="2"/>
    </row>
    <row r="24" spans="1:16" ht="12.75">
      <c r="A24" s="80"/>
      <c r="B24" s="111"/>
      <c r="C24" s="139" t="s">
        <v>42</v>
      </c>
      <c r="D24" s="115"/>
      <c r="E24" s="115"/>
      <c r="F24" s="115"/>
      <c r="G24" s="115"/>
      <c r="H24" s="319"/>
      <c r="I24" s="320"/>
      <c r="J24" s="17"/>
      <c r="L24" s="2"/>
      <c r="M24" s="2"/>
      <c r="N24" s="2"/>
      <c r="O24" s="2"/>
      <c r="P24" s="2"/>
    </row>
    <row r="25" spans="1:16" ht="12.75">
      <c r="A25" s="112"/>
      <c r="B25" s="112"/>
      <c r="C25" s="139" t="s">
        <v>43</v>
      </c>
      <c r="D25" s="318">
        <f>IF(D24="","",IF(D24=1,'Experimental Plan'!B8,IF(D24=2,'Experimental Plan'!B9,"")))</f>
      </c>
      <c r="E25" s="261">
        <f>IF(E24="","",IF(E24=1,'Experimental Plan'!C8,IF(E24=2,'Experimental Plan'!C9,"")))</f>
      </c>
      <c r="F25" s="261">
        <f>IF(F24="","",IF(F24=1,'Experimental Plan'!E8,IF(F24=2,'Experimental Plan'!E9,"")))</f>
      </c>
      <c r="G25" s="261">
        <f>IF(G24="","",IF(G24=1,'Experimental Plan'!H8,IF(G24=2,'Experimental Plan'!H9,"")))</f>
      </c>
      <c r="H25" s="319"/>
      <c r="I25" s="17"/>
      <c r="J25" s="17"/>
      <c r="L25" s="2"/>
      <c r="M25" s="2"/>
      <c r="N25" s="2"/>
      <c r="O25" s="2"/>
      <c r="P25" s="2"/>
    </row>
    <row r="26" spans="4:15" ht="12.75">
      <c r="D26" s="495">
        <f>IF(OR(ISBLANK(D24),ISBLANK(E24),ISBLANK(F24),ISBLANK(G24)),"",IF(AND(OR(D24=1,D24=2),OR(E24=1,E24=2),OR(F24=1,F24=2),OR(G24=1,G24=2)),"","## ERROR:  Enter a 1 or 2 in cells D25-G25 ##"))</f>
      </c>
      <c r="H26" s="80"/>
      <c r="I26" s="140"/>
      <c r="J26" s="140"/>
      <c r="K26" s="140"/>
      <c r="L26" s="215"/>
      <c r="M26" s="215"/>
      <c r="N26" s="215"/>
      <c r="O26" s="215"/>
    </row>
    <row r="27" spans="8:14" ht="12.75">
      <c r="H27" s="112"/>
      <c r="I27" s="141"/>
      <c r="J27" s="141"/>
      <c r="K27" s="141"/>
      <c r="L27" s="216"/>
      <c r="M27" s="215"/>
      <c r="N27" s="215"/>
    </row>
    <row r="28" spans="1:14" ht="12.75">
      <c r="A28" s="113"/>
      <c r="B28" s="1"/>
      <c r="H28" s="80"/>
      <c r="I28" s="142"/>
      <c r="J28" s="142"/>
      <c r="K28" s="142"/>
      <c r="L28" s="217"/>
      <c r="M28" s="215"/>
      <c r="N28" s="215"/>
    </row>
    <row r="29" spans="9:14" ht="12.75">
      <c r="I29" s="141"/>
      <c r="J29" s="141"/>
      <c r="K29" s="141"/>
      <c r="L29" s="217"/>
      <c r="M29" s="218"/>
      <c r="N29" s="218"/>
    </row>
    <row r="30" spans="9:14" ht="12.75">
      <c r="I30" s="80"/>
      <c r="J30" s="80"/>
      <c r="K30" s="80"/>
      <c r="L30" s="217"/>
      <c r="M30" s="218"/>
      <c r="N30" s="218"/>
    </row>
    <row r="31" spans="9:14" ht="12.75">
      <c r="I31" s="80"/>
      <c r="J31" s="80"/>
      <c r="K31" s="80"/>
      <c r="L31" s="218"/>
      <c r="M31" s="218"/>
      <c r="N31" s="218"/>
    </row>
    <row r="32" spans="1:14" ht="12.75">
      <c r="A32" s="137" t="s">
        <v>44</v>
      </c>
      <c r="B32" s="137"/>
      <c r="C32" s="185"/>
      <c r="D32" s="137"/>
      <c r="E32" s="185"/>
      <c r="I32" s="112"/>
      <c r="J32" s="112"/>
      <c r="K32" s="112"/>
      <c r="L32" s="218"/>
      <c r="M32" s="219"/>
      <c r="N32" s="219"/>
    </row>
    <row r="33" spans="1:14" ht="12.75">
      <c r="A33" s="214" t="s">
        <v>45</v>
      </c>
      <c r="B33" s="214" t="s">
        <v>46</v>
      </c>
      <c r="C33" s="389" t="s">
        <v>47</v>
      </c>
      <c r="D33" s="214" t="s">
        <v>48</v>
      </c>
      <c r="E33" s="389" t="s">
        <v>49</v>
      </c>
      <c r="I33" s="80"/>
      <c r="J33" s="80"/>
      <c r="K33" s="80"/>
      <c r="L33" s="219"/>
      <c r="M33" s="218"/>
      <c r="N33" s="218"/>
    </row>
    <row r="34" spans="1:15" ht="12.75">
      <c r="A34" s="214"/>
      <c r="B34" s="214"/>
      <c r="C34" s="215">
        <f>'Response Tables'!J$13</f>
        <v>0</v>
      </c>
      <c r="D34" s="262"/>
      <c r="E34" s="263">
        <f>'Response Tables'!I$13</f>
        <v>0</v>
      </c>
      <c r="L34" s="218"/>
      <c r="M34" s="215"/>
      <c r="N34" s="215"/>
      <c r="O34" s="215"/>
    </row>
    <row r="35" spans="1:15" ht="12.75">
      <c r="A35" s="215" t="str">
        <f>CONCATENATE('Experimental Plan'!B12," 1")</f>
        <v>c1 1</v>
      </c>
      <c r="B35" s="138">
        <f>'Response Tables'!B15</f>
      </c>
      <c r="C35" s="215">
        <f>'Response Tables'!J$13</f>
        <v>0</v>
      </c>
      <c r="D35" s="264">
        <f>'Response Tables'!B19</f>
      </c>
      <c r="E35" s="263">
        <f>'Response Tables'!I$13</f>
        <v>0</v>
      </c>
      <c r="L35" s="215"/>
      <c r="M35" s="215"/>
      <c r="N35" s="215"/>
      <c r="O35" s="215"/>
    </row>
    <row r="36" spans="1:12" ht="12.75">
      <c r="A36" s="215" t="str">
        <f>CONCATENATE('Experimental Plan'!B12," 2")</f>
        <v>c1 2</v>
      </c>
      <c r="B36" s="138">
        <f>'Response Tables'!B16</f>
      </c>
      <c r="C36" s="215">
        <f>'Response Tables'!J$13</f>
        <v>0</v>
      </c>
      <c r="D36" s="264">
        <f>'Response Tables'!B20</f>
      </c>
      <c r="E36" s="263">
        <f>'Response Tables'!I$13</f>
        <v>0</v>
      </c>
      <c r="L36" s="215"/>
    </row>
    <row r="37" spans="1:5" ht="12.75">
      <c r="A37" s="215"/>
      <c r="B37" s="138"/>
      <c r="C37" s="215">
        <f>'Response Tables'!J$13</f>
        <v>0</v>
      </c>
      <c r="D37" s="264"/>
      <c r="E37" s="263">
        <f>'Response Tables'!I$13</f>
        <v>0</v>
      </c>
    </row>
    <row r="38" spans="1:5" ht="12.75">
      <c r="A38" s="215" t="str">
        <f>CONCATENATE('Experimental Plan'!C12," 1")</f>
        <v>c2 1</v>
      </c>
      <c r="B38" s="138">
        <f>'Response Tables'!C15</f>
      </c>
      <c r="C38" s="215">
        <f>'Response Tables'!J$13</f>
        <v>0</v>
      </c>
      <c r="D38" s="264">
        <f>'Response Tables'!C19</f>
      </c>
      <c r="E38" s="263">
        <f>'Response Tables'!I$13</f>
        <v>0</v>
      </c>
    </row>
    <row r="39" spans="1:5" ht="12.75">
      <c r="A39" s="215" t="str">
        <f>CONCATENATE('Experimental Plan'!C12," 2")</f>
        <v>c2 2</v>
      </c>
      <c r="B39" s="138">
        <f>'Response Tables'!C16</f>
      </c>
      <c r="C39" s="215">
        <f>'Response Tables'!J$13</f>
        <v>0</v>
      </c>
      <c r="D39" s="264">
        <f>'Response Tables'!C20</f>
      </c>
      <c r="E39" s="263">
        <f>'Response Tables'!I$13</f>
        <v>0</v>
      </c>
    </row>
    <row r="40" spans="1:5" ht="12.75">
      <c r="A40" s="215"/>
      <c r="B40" s="138"/>
      <c r="C40" s="215">
        <f>'Response Tables'!J$13</f>
        <v>0</v>
      </c>
      <c r="D40" s="264"/>
      <c r="E40" s="263">
        <f>'Response Tables'!I$13</f>
        <v>0</v>
      </c>
    </row>
    <row r="41" spans="1:5" ht="12.75">
      <c r="A41" s="215" t="str">
        <f>CONCATENATE('Experimental Plan'!D12," 1")</f>
        <v>c3 1</v>
      </c>
      <c r="B41" s="138">
        <f>'Response Tables'!D15</f>
      </c>
      <c r="C41" s="215">
        <f>'Response Tables'!J$13</f>
        <v>0</v>
      </c>
      <c r="D41" s="264">
        <f>'Response Tables'!D19</f>
      </c>
      <c r="E41" s="263">
        <f>'Response Tables'!I$13</f>
        <v>0</v>
      </c>
    </row>
    <row r="42" spans="1:5" ht="12.75">
      <c r="A42" s="215" t="str">
        <f>CONCATENATE('Experimental Plan'!D12," 2")</f>
        <v>c3 2</v>
      </c>
      <c r="B42" s="138">
        <f>'Response Tables'!D16</f>
      </c>
      <c r="C42" s="215">
        <f>'Response Tables'!J$13</f>
        <v>0</v>
      </c>
      <c r="D42" s="264">
        <f>'Response Tables'!D20</f>
      </c>
      <c r="E42" s="263">
        <f>'Response Tables'!I$13</f>
        <v>0</v>
      </c>
    </row>
    <row r="43" spans="1:5" ht="12.75">
      <c r="A43" s="215"/>
      <c r="B43" s="138"/>
      <c r="C43" s="215">
        <f>'Response Tables'!J$13</f>
        <v>0</v>
      </c>
      <c r="D43" s="264"/>
      <c r="E43" s="263">
        <f>'Response Tables'!I$13</f>
        <v>0</v>
      </c>
    </row>
    <row r="44" spans="1:5" ht="12.75">
      <c r="A44" s="215" t="str">
        <f>CONCATENATE('Experimental Plan'!E12," 1")</f>
        <v>c4 1</v>
      </c>
      <c r="B44" s="138">
        <f>'Response Tables'!E15</f>
      </c>
      <c r="C44" s="215">
        <f>'Response Tables'!J$13</f>
        <v>0</v>
      </c>
      <c r="D44" s="264">
        <f>'Response Tables'!E19</f>
      </c>
      <c r="E44" s="263">
        <f>'Response Tables'!I$13</f>
        <v>0</v>
      </c>
    </row>
    <row r="45" spans="1:5" ht="12.75">
      <c r="A45" s="215" t="str">
        <f>CONCATENATE('Experimental Plan'!E12," 2")</f>
        <v>c4 2</v>
      </c>
      <c r="B45" s="138">
        <f>'Response Tables'!E16</f>
      </c>
      <c r="C45" s="215">
        <f>'Response Tables'!J$13</f>
        <v>0</v>
      </c>
      <c r="D45" s="264">
        <f>'Response Tables'!E20</f>
      </c>
      <c r="E45" s="263">
        <f>'Response Tables'!I$13</f>
        <v>0</v>
      </c>
    </row>
    <row r="46" spans="1:5" ht="12.75">
      <c r="A46" s="215"/>
      <c r="B46" s="138"/>
      <c r="C46" s="215">
        <f>'Response Tables'!J$13</f>
        <v>0</v>
      </c>
      <c r="D46" s="264"/>
      <c r="E46" s="263">
        <f>'Response Tables'!I$13</f>
        <v>0</v>
      </c>
    </row>
    <row r="47" spans="1:5" ht="12.75">
      <c r="A47" s="215" t="str">
        <f>CONCATENATE('Experimental Plan'!F12," 1")</f>
        <v>c5 1</v>
      </c>
      <c r="B47" s="138">
        <f>'Response Tables'!F15</f>
      </c>
      <c r="C47" s="215">
        <f>'Response Tables'!J$13</f>
        <v>0</v>
      </c>
      <c r="D47" s="264">
        <f>'Response Tables'!F19</f>
      </c>
      <c r="E47" s="263">
        <f>'Response Tables'!I$13</f>
        <v>0</v>
      </c>
    </row>
    <row r="48" spans="1:5" ht="12.75">
      <c r="A48" s="215" t="str">
        <f>CONCATENATE('Experimental Plan'!F12," 2")</f>
        <v>c5 2</v>
      </c>
      <c r="B48" s="138">
        <f>'Response Tables'!F16</f>
      </c>
      <c r="C48" s="215">
        <f>'Response Tables'!J$13</f>
        <v>0</v>
      </c>
      <c r="D48" s="264">
        <f>'Response Tables'!F20</f>
      </c>
      <c r="E48" s="263">
        <f>'Response Tables'!I$13</f>
        <v>0</v>
      </c>
    </row>
    <row r="49" spans="1:5" ht="12.75">
      <c r="A49" s="215"/>
      <c r="B49" s="138"/>
      <c r="C49" s="215">
        <f>'Response Tables'!J$13</f>
        <v>0</v>
      </c>
      <c r="D49" s="264"/>
      <c r="E49" s="263">
        <f>'Response Tables'!I$13</f>
        <v>0</v>
      </c>
    </row>
    <row r="50" spans="1:5" ht="12.75">
      <c r="A50" s="215" t="str">
        <f>CONCATENATE('Experimental Plan'!G12," 1")</f>
        <v>c6 1</v>
      </c>
      <c r="B50" s="138">
        <f>'Response Tables'!G15</f>
      </c>
      <c r="C50" s="215">
        <f>'Response Tables'!J$13</f>
        <v>0</v>
      </c>
      <c r="D50" s="264">
        <f>'Response Tables'!G19</f>
      </c>
      <c r="E50" s="263">
        <f>'Response Tables'!I$13</f>
        <v>0</v>
      </c>
    </row>
    <row r="51" spans="1:5" ht="12.75">
      <c r="A51" s="215" t="str">
        <f>CONCATENATE('Experimental Plan'!G12," 2")</f>
        <v>c6 2</v>
      </c>
      <c r="B51" s="138">
        <f>'Response Tables'!G16</f>
      </c>
      <c r="C51" s="215">
        <f>'Response Tables'!J$13</f>
        <v>0</v>
      </c>
      <c r="D51" s="264">
        <f>'Response Tables'!G20</f>
      </c>
      <c r="E51" s="263">
        <f>'Response Tables'!I$13</f>
        <v>0</v>
      </c>
    </row>
    <row r="52" spans="1:5" ht="12.75">
      <c r="A52" s="215"/>
      <c r="B52" s="138"/>
      <c r="C52" s="215">
        <f>'Response Tables'!J$13</f>
        <v>0</v>
      </c>
      <c r="D52" s="264"/>
      <c r="E52" s="263">
        <f>'Response Tables'!I$13</f>
        <v>0</v>
      </c>
    </row>
    <row r="53" spans="1:5" ht="12.75">
      <c r="A53" s="215" t="str">
        <f>CONCATENATE('Experimental Plan'!H12," 1")</f>
        <v>c7 1</v>
      </c>
      <c r="B53" s="138">
        <f>'Response Tables'!H15</f>
        <v>0</v>
      </c>
      <c r="C53" s="215">
        <f>'Response Tables'!J$13</f>
        <v>0</v>
      </c>
      <c r="D53" s="264">
        <f>'Response Tables'!H19</f>
        <v>0</v>
      </c>
      <c r="E53" s="263">
        <f>'Response Tables'!I$13</f>
        <v>0</v>
      </c>
    </row>
    <row r="54" spans="1:5" ht="12.75">
      <c r="A54" s="215" t="str">
        <f>CONCATENATE('Experimental Plan'!H12," 2")</f>
        <v>c7 2</v>
      </c>
      <c r="B54" s="138">
        <f>'Response Tables'!H16</f>
        <v>0</v>
      </c>
      <c r="C54" s="215">
        <f>'Response Tables'!J$13</f>
        <v>0</v>
      </c>
      <c r="D54" s="264">
        <f>'Response Tables'!H20</f>
        <v>0</v>
      </c>
      <c r="E54" s="263">
        <f>'Response Tables'!I$13</f>
        <v>0</v>
      </c>
    </row>
    <row r="55" spans="1:5" ht="12.75">
      <c r="A55" s="215"/>
      <c r="B55" s="138"/>
      <c r="C55" s="215">
        <f>'Response Tables'!J$13</f>
        <v>0</v>
      </c>
      <c r="D55" s="264"/>
      <c r="E55" s="263">
        <f>'Response Tables'!I$13</f>
        <v>0</v>
      </c>
    </row>
    <row r="56" spans="1:5" ht="12.75">
      <c r="A56" s="215" t="s">
        <v>50</v>
      </c>
      <c r="B56" s="215"/>
      <c r="C56" s="215"/>
      <c r="D56" s="263"/>
      <c r="E56" s="26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2">
      <selection activeCell="D19" sqref="D19"/>
    </sheetView>
  </sheetViews>
  <sheetFormatPr defaultColWidth="9.140625" defaultRowHeight="12.75"/>
  <cols>
    <col min="1" max="1" width="7.421875" style="94" customWidth="1"/>
    <col min="2" max="2" width="9.57421875" style="116" customWidth="1"/>
    <col min="3" max="3" width="14.7109375" style="0" customWidth="1"/>
    <col min="4" max="4" width="8.7109375" style="233" customWidth="1"/>
    <col min="5" max="5" width="6.7109375" style="233" customWidth="1"/>
    <col min="6" max="6" width="9.7109375" style="0" customWidth="1"/>
    <col min="7" max="7" width="14.7109375" style="0" customWidth="1"/>
    <col min="8" max="8" width="8.7109375" style="233" customWidth="1"/>
    <col min="9" max="9" width="6.7109375" style="0" customWidth="1"/>
  </cols>
  <sheetData>
    <row r="1" s="34" customFormat="1" ht="15.75">
      <c r="A1" s="110" t="s">
        <v>0</v>
      </c>
    </row>
    <row r="2" spans="1:8" s="34" customFormat="1" ht="15.75">
      <c r="A2" s="110"/>
      <c r="D2" s="233"/>
      <c r="E2" s="233"/>
      <c r="H2" s="233"/>
    </row>
    <row r="3" spans="1:9" s="94" customFormat="1" ht="15">
      <c r="A3" s="183" t="s">
        <v>51</v>
      </c>
      <c r="B3" s="178"/>
      <c r="C3" s="178"/>
      <c r="D3" s="178"/>
      <c r="E3" s="178"/>
      <c r="F3" s="178"/>
      <c r="G3" s="178"/>
      <c r="H3" s="178"/>
      <c r="I3" s="224"/>
    </row>
    <row r="4" spans="1:9" s="94" customFormat="1" ht="15">
      <c r="A4" s="251"/>
      <c r="B4" s="135"/>
      <c r="C4" s="265" t="s">
        <v>20</v>
      </c>
      <c r="D4" s="252"/>
      <c r="E4" s="252"/>
      <c r="F4" s="135"/>
      <c r="G4" s="265" t="s">
        <v>52</v>
      </c>
      <c r="H4" s="252"/>
      <c r="I4" s="230"/>
    </row>
    <row r="5" spans="1:9" s="34" customFormat="1" ht="15">
      <c r="A5" s="249"/>
      <c r="B5" s="245"/>
      <c r="C5" s="223" t="s">
        <v>53</v>
      </c>
      <c r="D5" s="172"/>
      <c r="E5" s="245"/>
      <c r="F5" s="245"/>
      <c r="G5" s="223" t="s">
        <v>53</v>
      </c>
      <c r="H5" s="172"/>
      <c r="I5" s="250"/>
    </row>
    <row r="6" spans="1:9" s="174" customFormat="1" ht="14.25">
      <c r="A6" s="220" t="s">
        <v>7</v>
      </c>
      <c r="B6" s="221" t="s">
        <v>54</v>
      </c>
      <c r="C6" s="222" t="s">
        <v>55</v>
      </c>
      <c r="D6" s="235" t="s">
        <v>56</v>
      </c>
      <c r="E6" s="235"/>
      <c r="F6" s="222"/>
      <c r="G6" s="222" t="s">
        <v>55</v>
      </c>
      <c r="H6" s="235" t="s">
        <v>56</v>
      </c>
      <c r="I6" s="231"/>
    </row>
    <row r="7" spans="1:9" ht="12.75">
      <c r="A7" s="179">
        <f>'Experimental Plan'!B7</f>
        <v>0</v>
      </c>
      <c r="B7" s="131">
        <f>'Experimental Plan'!R7</f>
        <v>1</v>
      </c>
      <c r="C7" s="207" t="str">
        <f>CONCATENATE(A7,B7," avg - Tbar S/N")</f>
        <v>01 avg - Tbar S/N</v>
      </c>
      <c r="D7" s="236" t="e">
        <f>IF(ISBLANK('Experimental Plan'!$R$7),"",IF('Experimental Plan'!$R$7=1,'Response Tables'!$B$15-'Response Tables'!$J$13,'Response Tables'!$B$16-'Response Tables'!$J$13))</f>
        <v>#VALUE!</v>
      </c>
      <c r="E7" s="236"/>
      <c r="F7" s="168"/>
      <c r="G7" s="207" t="str">
        <f>CONCATENATE(A7,B7," avg - Tbar Beta")</f>
        <v>01 avg - Tbar Beta</v>
      </c>
      <c r="H7" s="243" t="e">
        <f>IF(ISBLANK('Experimental Plan'!$R$7),"",IF('Experimental Plan'!$R$7=1,'Response Tables'!$B$19-'Response Tables'!$I$13,'Response Tables'!$B$20-'Response Tables'!$I$13))</f>
        <v>#VALUE!</v>
      </c>
      <c r="I7" s="225"/>
    </row>
    <row r="8" spans="1:9" ht="12.75">
      <c r="A8" s="179">
        <f>'Experimental Plan'!C7</f>
        <v>0</v>
      </c>
      <c r="B8" s="131">
        <f>'Experimental Plan'!S7</f>
        <v>1</v>
      </c>
      <c r="C8" s="207" t="str">
        <f>CONCATENATE(A8,B8," avg - Tbar S/N")</f>
        <v>01 avg - Tbar S/N</v>
      </c>
      <c r="D8" s="236" t="e">
        <f>IF(ISBLANK('Experimental Plan'!$S$7),"",IF('Experimental Plan'!$S$7=1,'Response Tables'!$C$15-'Response Tables'!$J$13,'Response Tables'!$C$16-'Response Tables'!$J$13))</f>
        <v>#VALUE!</v>
      </c>
      <c r="E8" s="236"/>
      <c r="F8" s="136"/>
      <c r="G8" s="207" t="str">
        <f>CONCATENATE(A8,B8," avg - Tbar Beta")</f>
        <v>01 avg - Tbar Beta</v>
      </c>
      <c r="H8" s="243" t="e">
        <f>IF(ISBLANK('Experimental Plan'!$S$7),"",IF('Experimental Plan'!$S$7=1,'Response Tables'!$C$19-'Response Tables'!$I$13,'Response Tables'!$C$20-'Response Tables'!$I$13))</f>
        <v>#VALUE!</v>
      </c>
      <c r="I8" s="225"/>
    </row>
    <row r="9" spans="1:9" ht="12.75">
      <c r="A9" s="179">
        <f>'Experimental Plan'!E7</f>
        <v>0</v>
      </c>
      <c r="B9" s="131">
        <f>'Experimental Plan'!T7</f>
        <v>1</v>
      </c>
      <c r="C9" s="207" t="str">
        <f>CONCATENATE(A9,B9," avg - Tbar S/N")</f>
        <v>01 avg - Tbar S/N</v>
      </c>
      <c r="D9" s="236" t="e">
        <f>IF(ISBLANK('Experimental Plan'!$T$7),"",IF('Experimental Plan'!$T$7=1,'Response Tables'!$E$15-'Response Tables'!$J$13,'Response Tables'!$E$16-'Response Tables'!$J$13))</f>
        <v>#VALUE!</v>
      </c>
      <c r="E9" s="236"/>
      <c r="F9" s="136"/>
      <c r="G9" s="207" t="str">
        <f>CONCATENATE(A9,B9," avg - Tbar Beta")</f>
        <v>01 avg - Tbar Beta</v>
      </c>
      <c r="H9" s="243" t="e">
        <f>IF(ISBLANK('Experimental Plan'!$T$7),"",IF('Experimental Plan'!$T$7=1,'Response Tables'!$E$19-'Response Tables'!$I$13,'Response Tables'!$E$20-'Response Tables'!$I$13))</f>
        <v>#VALUE!</v>
      </c>
      <c r="I9" s="225"/>
    </row>
    <row r="10" spans="1:9" s="116" customFormat="1" ht="13.5" thickBot="1">
      <c r="A10" s="179">
        <f>'Experimental Plan'!H7</f>
        <v>0</v>
      </c>
      <c r="B10" s="131">
        <f>'Experimental Plan'!U7</f>
        <v>1</v>
      </c>
      <c r="C10" s="228" t="str">
        <f>CONCATENATE(A10,B10," avg - Tbar S/N")</f>
        <v>01 avg - Tbar S/N</v>
      </c>
      <c r="D10" s="237">
        <f>IF(ISBLANK('Experimental Plan'!$U$7),"",IF('Experimental Plan'!$U$7=1,'Response Tables'!$H$15-'Response Tables'!$J$13,'Response Tables'!$H$16-'Response Tables'!$J$13))</f>
        <v>0</v>
      </c>
      <c r="E10" s="236"/>
      <c r="F10" s="136"/>
      <c r="G10" s="228" t="str">
        <f>CONCATENATE(A10,B10," avg - Tbar Beta")</f>
        <v>01 avg - Tbar Beta</v>
      </c>
      <c r="H10" s="244">
        <f>IF(ISBLANK('Experimental Plan'!$U$7),"",IF('Experimental Plan'!$U$7=1,'Response Tables'!$H$19-'Response Tables'!$I$13,'Response Tables'!$H$20-'Response Tables'!$I$13))</f>
        <v>0</v>
      </c>
      <c r="I10" s="225"/>
    </row>
    <row r="11" spans="1:9" ht="13.5" thickTop="1">
      <c r="A11" s="175"/>
      <c r="B11" s="134"/>
      <c r="C11" s="184" t="s">
        <v>57</v>
      </c>
      <c r="D11" s="238" t="e">
        <f>SUM(D7:D10)</f>
        <v>#VALUE!</v>
      </c>
      <c r="E11" s="238"/>
      <c r="F11" s="136"/>
      <c r="G11" s="184" t="s">
        <v>57</v>
      </c>
      <c r="H11" s="241" t="e">
        <f>SUM(H7:H10)</f>
        <v>#VALUE!</v>
      </c>
      <c r="I11" s="225"/>
    </row>
    <row r="12" spans="1:9" s="129" customFormat="1" ht="15" thickBot="1">
      <c r="A12" s="176"/>
      <c r="B12" s="130"/>
      <c r="C12" s="229" t="s">
        <v>58</v>
      </c>
      <c r="D12" s="239">
        <f>'Response Tables'!J13</f>
        <v>0</v>
      </c>
      <c r="E12" s="246"/>
      <c r="F12" s="130"/>
      <c r="G12" s="229" t="s">
        <v>59</v>
      </c>
      <c r="H12" s="242">
        <f>'Response Tables'!I13</f>
        <v>0</v>
      </c>
      <c r="I12" s="232"/>
    </row>
    <row r="13" spans="1:9" ht="13.5" thickTop="1">
      <c r="A13" s="177"/>
      <c r="B13" s="341"/>
      <c r="C13" s="342" t="s">
        <v>60</v>
      </c>
      <c r="D13" s="347" t="e">
        <f>SUM(D11:D12)</f>
        <v>#VALUE!</v>
      </c>
      <c r="E13" s="240"/>
      <c r="F13" s="343"/>
      <c r="G13" s="342" t="s">
        <v>61</v>
      </c>
      <c r="H13" s="348" t="e">
        <f>SUM(H11:H12)</f>
        <v>#VALUE!</v>
      </c>
      <c r="I13" s="227"/>
    </row>
    <row r="14" spans="1:8" ht="6" customHeight="1">
      <c r="A14"/>
      <c r="B14"/>
      <c r="D14" s="11"/>
      <c r="E14"/>
      <c r="H14" s="253"/>
    </row>
    <row r="15" spans="1:9" ht="15">
      <c r="A15" s="183" t="s">
        <v>62</v>
      </c>
      <c r="B15" s="178"/>
      <c r="C15" s="178"/>
      <c r="D15" s="496">
        <f>IF(ISBLANK(D19),"",IF(OR(AND('Response Plots'!D24=1,Prediction!D19=('Response Tables'!B15-'Response Tables'!J13)),AND('Response Plots'!D24=2,Prediction!D19=('Response Tables'!B16-'Response Tables'!J13))),"","## ERROR in cell D19 ##"))</f>
      </c>
      <c r="E15" s="178"/>
      <c r="F15" s="178"/>
      <c r="G15" s="178"/>
      <c r="H15" s="497">
        <f>IF(ISBLANK(H19),"",IF(OR(AND('Response Plots'!D24=1,Prediction!H19=('Response Tables'!B19-'Response Tables'!I13)),AND('Response Plots'!D24=2,Prediction!H19=('Response Tables'!B20-'Response Tables'!I13))),"","## ERROR in cell H19 ##"))</f>
      </c>
      <c r="I15" s="224"/>
    </row>
    <row r="16" spans="1:9" ht="15">
      <c r="A16" s="251"/>
      <c r="B16"/>
      <c r="C16" s="265" t="s">
        <v>20</v>
      </c>
      <c r="D16" s="257"/>
      <c r="E16" s="252"/>
      <c r="F16" s="116"/>
      <c r="G16" s="265" t="s">
        <v>52</v>
      </c>
      <c r="H16" s="254"/>
      <c r="I16" s="225"/>
    </row>
    <row r="17" spans="1:9" s="34" customFormat="1" ht="15">
      <c r="A17" s="249"/>
      <c r="B17" s="245"/>
      <c r="C17" s="223" t="s">
        <v>53</v>
      </c>
      <c r="D17" s="213"/>
      <c r="E17" s="245"/>
      <c r="F17" s="245"/>
      <c r="G17" s="223" t="s">
        <v>53</v>
      </c>
      <c r="H17" s="255"/>
      <c r="I17" s="250"/>
    </row>
    <row r="18" spans="1:9" s="173" customFormat="1" ht="14.25">
      <c r="A18" s="220" t="s">
        <v>7</v>
      </c>
      <c r="B18" s="221" t="s">
        <v>54</v>
      </c>
      <c r="C18" s="222" t="s">
        <v>55</v>
      </c>
      <c r="D18" s="258" t="s">
        <v>56</v>
      </c>
      <c r="E18" s="235"/>
      <c r="F18" s="222"/>
      <c r="G18" s="222" t="s">
        <v>55</v>
      </c>
      <c r="H18" s="256" t="s">
        <v>56</v>
      </c>
      <c r="I18" s="226"/>
    </row>
    <row r="19" spans="1:9" ht="13.5" customHeight="1">
      <c r="A19" s="179">
        <f>'Experimental Plan'!B7</f>
        <v>0</v>
      </c>
      <c r="B19" s="131">
        <f>'Response Plots'!D24</f>
        <v>0</v>
      </c>
      <c r="C19" s="207" t="str">
        <f>CONCATENATE(A19,B19," avg - Tbar S/N")</f>
        <v>00 avg - Tbar S/N</v>
      </c>
      <c r="D19" s="384"/>
      <c r="E19" s="386"/>
      <c r="F19" s="116"/>
      <c r="G19" s="207" t="str">
        <f>CONCATENATE(A19,B19," avg - Tbar Beta")</f>
        <v>00 avg - Tbar Beta</v>
      </c>
      <c r="H19" s="387"/>
      <c r="I19" s="386"/>
    </row>
    <row r="20" spans="1:9" ht="13.5" customHeight="1">
      <c r="A20" s="179">
        <f>'Experimental Plan'!C7</f>
        <v>0</v>
      </c>
      <c r="B20" s="131">
        <f>'Response Plots'!E24</f>
        <v>0</v>
      </c>
      <c r="C20" s="207" t="str">
        <f>CONCATENATE(A20,B20," avg - Tbar S/N")</f>
        <v>00 avg - Tbar S/N</v>
      </c>
      <c r="D20" s="236">
        <f>IF(OR(ISBLANK($E$19),ISBLANK($D$19)),"",IF('Response Plots'!E24=1,'Response Tables'!C$15-'Response Tables'!$J$13,'Response Tables'!C$16-'Response Tables'!$J$13))</f>
      </c>
      <c r="E20" s="236"/>
      <c r="F20" s="116"/>
      <c r="G20" s="207" t="str">
        <f>CONCATENATE(A20,B20," avg - Tbar Beta")</f>
        <v>00 avg - Tbar Beta</v>
      </c>
      <c r="H20" s="243">
        <f>IF(OR(ISBLANK($I$19),ISBLANK($H$19)),"",IF('Response Plots'!E24=1,'Response Tables'!C19-'Response Tables'!I13,'Response Tables'!C20-'Response Tables'!I13))</f>
      </c>
      <c r="I20" s="225"/>
    </row>
    <row r="21" spans="1:9" ht="13.5" customHeight="1">
      <c r="A21" s="179">
        <f>'Experimental Plan'!E7</f>
        <v>0</v>
      </c>
      <c r="B21" s="131">
        <f>'Response Plots'!F24</f>
        <v>0</v>
      </c>
      <c r="C21" s="207" t="str">
        <f>CONCATENATE(A21,B21," avg - Tbar S/N")</f>
        <v>00 avg - Tbar S/N</v>
      </c>
      <c r="D21" s="236">
        <f>IF(OR(ISBLANK($E$19),ISBLANK($D$19)),"",IF('Response Plots'!F24=1,'Response Tables'!E$15-'Response Tables'!$J$13,'Response Tables'!E$16-'Response Tables'!$J$13))</f>
      </c>
      <c r="E21" s="236"/>
      <c r="G21" s="207" t="str">
        <f>CONCATENATE(A21,B21," avg - Tbar Beta")</f>
        <v>00 avg - Tbar Beta</v>
      </c>
      <c r="H21" s="243">
        <f>IF(OR(ISBLANK($I$19),ISBLANK($H$19)),"",IF('Response Plots'!F24=1,'Response Tables'!E19-'Response Tables'!$I$13,'Response Tables'!E20-'Response Tables'!$I$13))</f>
      </c>
      <c r="I21" s="225"/>
    </row>
    <row r="22" spans="1:9" ht="13.5" customHeight="1" thickBot="1">
      <c r="A22" s="179">
        <f>'Experimental Plan'!H7</f>
        <v>0</v>
      </c>
      <c r="B22" s="131">
        <f>'Response Plots'!G24</f>
        <v>0</v>
      </c>
      <c r="C22" s="228" t="str">
        <f>CONCATENATE(A22,B22," avg - Tbar S/N")</f>
        <v>00 avg - Tbar S/N</v>
      </c>
      <c r="D22" s="237">
        <f>IF(OR(ISBLANK($E$19),ISBLANK($D$19)),"",IF('Response Plots'!G24=1,'Response Tables'!H$15-'Response Tables'!$J$13,'Response Tables'!H$16-'Response Tables'!$J$13))</f>
      </c>
      <c r="E22" s="236"/>
      <c r="G22" s="228" t="str">
        <f>CONCATENATE(A22,B22," avg - Tbar Beta")</f>
        <v>00 avg - Tbar Beta</v>
      </c>
      <c r="H22" s="244">
        <f>IF(OR(ISBLANK($I$19),ISBLANK($H$19)),"",IF('Response Plots'!G24=1,'Response Tables'!H19-'Response Tables'!$I$13,'Response Tables'!H20-'Response Tables'!$I$13))</f>
      </c>
      <c r="I22" s="225"/>
    </row>
    <row r="23" spans="1:9" ht="13.5" thickTop="1">
      <c r="A23" s="175"/>
      <c r="B23" s="498">
        <f>IF(ISBLANK(D23),"",IF(D23=SUM(D19:D22),"","## S/N Total ERROR ##"))</f>
      </c>
      <c r="C23" s="184" t="s">
        <v>57</v>
      </c>
      <c r="D23" s="385"/>
      <c r="E23" s="236"/>
      <c r="F23" s="498">
        <f>IF(ISBLANK(H23),"",IF(H23=SUM(H19:H22),"","## Beta Total ERROR ##"))</f>
      </c>
      <c r="G23" s="184" t="s">
        <v>57</v>
      </c>
      <c r="H23" s="388"/>
      <c r="I23" s="225"/>
    </row>
    <row r="24" spans="1:9" ht="15" thickBot="1">
      <c r="A24" s="176"/>
      <c r="B24" s="498">
        <f>IF(ISBLANK(D25),"",IF(D25=SUM(D23:D24),"","## S/N Pred ERROR ##"))</f>
      </c>
      <c r="C24" s="229" t="s">
        <v>58</v>
      </c>
      <c r="D24" s="239">
        <f>'Response Tables'!J13</f>
        <v>0</v>
      </c>
      <c r="E24" s="247"/>
      <c r="F24" s="498">
        <f>IF(ISBLANK(H25),"",IF(H25=SUM(H23:H24),"","## Beta Pred ERROR ##"))</f>
      </c>
      <c r="G24" s="229" t="s">
        <v>59</v>
      </c>
      <c r="H24" s="242">
        <f>'Response Tables'!I13</f>
        <v>0</v>
      </c>
      <c r="I24" s="225"/>
    </row>
    <row r="25" spans="1:9" ht="13.5" thickTop="1">
      <c r="A25" s="177"/>
      <c r="B25" s="344"/>
      <c r="C25" s="345" t="s">
        <v>63</v>
      </c>
      <c r="D25" s="385"/>
      <c r="E25" s="248"/>
      <c r="F25" s="346"/>
      <c r="G25" s="345" t="s">
        <v>64</v>
      </c>
      <c r="H25" s="388"/>
      <c r="I25" s="227"/>
    </row>
    <row r="26" spans="1:8" ht="12.75">
      <c r="A26" s="135"/>
      <c r="C26" s="116"/>
      <c r="D26" s="234"/>
      <c r="E26" s="234"/>
      <c r="F26" s="116"/>
      <c r="G26" s="116"/>
      <c r="H26" s="234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zoomScale="85" zoomScaleNormal="85" workbookViewId="0" topLeftCell="A2">
      <selection activeCell="B6" sqref="B6"/>
    </sheetView>
  </sheetViews>
  <sheetFormatPr defaultColWidth="9.140625" defaultRowHeight="12.75"/>
  <cols>
    <col min="1" max="1" width="10.57421875" style="2" customWidth="1"/>
    <col min="2" max="21" width="4.57421875" style="2" customWidth="1"/>
    <col min="22" max="24" width="5.57421875" style="2" customWidth="1"/>
    <col min="25" max="16384" width="8.8515625" style="2" customWidth="1"/>
  </cols>
  <sheetData>
    <row r="1" s="8" customFormat="1" ht="15.75">
      <c r="A1" s="383" t="s">
        <v>0</v>
      </c>
    </row>
    <row r="2" spans="1:10" ht="15.75">
      <c r="A2" s="15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21"/>
    </row>
    <row r="4" spans="1:24" ht="13.5" thickBot="1">
      <c r="A4" s="19"/>
      <c r="B4" s="369"/>
      <c r="C4" s="26"/>
      <c r="D4" s="26"/>
      <c r="E4" s="18"/>
      <c r="F4" s="83" t="s">
        <v>13</v>
      </c>
      <c r="G4" s="82">
        <f>IF(ISBLANK('Experimental Plan'!N11),"",'Experimental Plan'!N11)</f>
        <v>57</v>
      </c>
      <c r="H4" s="33"/>
      <c r="I4" s="33"/>
      <c r="J4" s="26"/>
      <c r="K4" s="27"/>
      <c r="L4" s="369"/>
      <c r="M4" s="26"/>
      <c r="N4" s="26"/>
      <c r="O4" s="26"/>
      <c r="P4" s="83" t="s">
        <v>14</v>
      </c>
      <c r="Q4" s="82">
        <f>IF(ISBLANK('Experimental Plan'!X11),"",'Experimental Plan'!X11)</f>
        <v>82</v>
      </c>
      <c r="R4" s="35"/>
      <c r="S4" s="35"/>
      <c r="T4" s="26"/>
      <c r="U4" s="27"/>
      <c r="V4" s="382"/>
      <c r="W4" s="382"/>
      <c r="X4" s="382"/>
    </row>
    <row r="5" spans="1:24" ht="16.5" thickBot="1">
      <c r="A5" s="77" t="s">
        <v>65</v>
      </c>
      <c r="B5" s="36" t="s">
        <v>16</v>
      </c>
      <c r="C5" s="37"/>
      <c r="D5" s="37"/>
      <c r="E5" s="370"/>
      <c r="F5" s="76"/>
      <c r="G5" s="37" t="s">
        <v>17</v>
      </c>
      <c r="H5" s="37"/>
      <c r="I5" s="37"/>
      <c r="J5" s="370"/>
      <c r="K5" s="39"/>
      <c r="L5" s="36" t="s">
        <v>16</v>
      </c>
      <c r="M5" s="37"/>
      <c r="N5" s="37"/>
      <c r="O5" s="370"/>
      <c r="P5" s="76"/>
      <c r="Q5" s="37" t="s">
        <v>17</v>
      </c>
      <c r="R5" s="37"/>
      <c r="S5" s="37"/>
      <c r="T5" s="370"/>
      <c r="U5" s="39"/>
      <c r="V5" s="180" t="s">
        <v>18</v>
      </c>
      <c r="W5" s="181" t="s">
        <v>66</v>
      </c>
      <c r="X5" s="182" t="s">
        <v>20</v>
      </c>
    </row>
    <row r="6" spans="1:24" ht="12.75">
      <c r="A6" s="259" t="s">
        <v>67</v>
      </c>
      <c r="B6" s="46"/>
      <c r="C6" s="47"/>
      <c r="D6" s="47"/>
      <c r="E6" s="48"/>
      <c r="F6" s="78"/>
      <c r="G6" s="40"/>
      <c r="H6" s="40"/>
      <c r="I6" s="40"/>
      <c r="J6" s="41"/>
      <c r="K6" s="42"/>
      <c r="L6" s="46"/>
      <c r="M6" s="47"/>
      <c r="N6" s="47"/>
      <c r="O6" s="48"/>
      <c r="P6" s="78"/>
      <c r="Q6" s="40"/>
      <c r="R6" s="40"/>
      <c r="S6" s="40"/>
      <c r="T6" s="41"/>
      <c r="U6" s="42"/>
      <c r="V6" s="371">
        <f>IF(OR(ISBLANK(U6),ISBLANK($V$4)),"",(SUM(B6:K6)*G4+SUM(L6:U6)*Q4)/(COUNT(B6:K6)*G4^2+COUNT(L6:U6)*Q4^2))</f>
      </c>
      <c r="W6" s="372">
        <f>IF(OR(ISBLANK(U6),ISBLANK($W$4)),"",(SUMSQ(B6:U6)-(SUM(B6:K6)*G4+SUM(L6:U6)*Q4)^2/(COUNT(B6:K6)*G4^2+COUNT(L6:U6)*Q4^2))/(COUNT(B6:U6)-1))</f>
      </c>
      <c r="X6" s="373">
        <f>IF(OR(ISBLANK(U6),ISBLANK($X$4)),"",10*LOG(V6^2/W6))</f>
      </c>
    </row>
    <row r="7" spans="1:24" ht="13.5" thickBot="1">
      <c r="A7" s="260" t="s">
        <v>68</v>
      </c>
      <c r="B7" s="49"/>
      <c r="C7" s="50"/>
      <c r="D7" s="50"/>
      <c r="E7" s="51"/>
      <c r="F7" s="79"/>
      <c r="G7" s="43"/>
      <c r="H7" s="43"/>
      <c r="I7" s="43"/>
      <c r="J7" s="44"/>
      <c r="K7" s="45"/>
      <c r="L7" s="49"/>
      <c r="M7" s="50"/>
      <c r="N7" s="50"/>
      <c r="O7" s="51"/>
      <c r="P7" s="79"/>
      <c r="Q7" s="43"/>
      <c r="R7" s="43"/>
      <c r="S7" s="43"/>
      <c r="T7" s="44"/>
      <c r="U7" s="45"/>
      <c r="V7" s="374">
        <f>IF(OR(ISBLANK(U7),ISBLANK($V$4)),"",(SUM(B7:K7)*G4+SUM(L7:U7)*Q4)/(COUNT(B7:K7)*G4^2+COUNT(L7:U7)*Q4^2))</f>
      </c>
      <c r="W7" s="375">
        <f>IF(OR(ISBLANK(U7),ISBLANK($W$4)),"",(SUMSQ(B7:U7)-(SUM(B7:K7)*G4+SUM(L7:U7)*Q4)^2/(COUNT(B7:K7)*G4^2+COUNT(L7:U7)*Q4^2))/(COUNT(B7:U7)-1))</f>
      </c>
      <c r="X7" s="376">
        <f>IF(OR(ISBLANK(U7),ISBLANK($X$4)),"",10*LOG(V7^2/W7))</f>
      </c>
    </row>
    <row r="9" spans="1:11" ht="21" thickBot="1">
      <c r="A9" s="117" t="s">
        <v>69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3:23" s="167" customFormat="1" ht="15">
      <c r="C10" s="159" t="s">
        <v>20</v>
      </c>
      <c r="D10" s="160"/>
      <c r="E10" s="160"/>
      <c r="F10" s="269"/>
      <c r="G10" s="161" t="s">
        <v>52</v>
      </c>
      <c r="H10" s="160"/>
      <c r="I10" s="160"/>
      <c r="J10" s="162"/>
      <c r="P10" s="2"/>
      <c r="Q10" s="2"/>
      <c r="R10" s="2"/>
      <c r="S10" s="2"/>
      <c r="T10" s="2"/>
      <c r="U10" s="2"/>
      <c r="V10" s="2"/>
      <c r="W10" s="2"/>
    </row>
    <row r="11" spans="3:23" s="167" customFormat="1" ht="15.75" thickBot="1">
      <c r="C11" s="266" t="s">
        <v>70</v>
      </c>
      <c r="D11" s="171"/>
      <c r="E11" s="377" t="s">
        <v>71</v>
      </c>
      <c r="F11" s="270"/>
      <c r="G11" s="267" t="s">
        <v>70</v>
      </c>
      <c r="H11" s="171"/>
      <c r="I11" s="377" t="s">
        <v>71</v>
      </c>
      <c r="J11" s="268"/>
      <c r="P11" s="2"/>
      <c r="Q11" s="2"/>
      <c r="R11" s="2"/>
      <c r="S11" s="2"/>
      <c r="T11" s="2"/>
      <c r="U11" s="2"/>
      <c r="V11" s="2"/>
      <c r="W11" s="2"/>
    </row>
    <row r="12" spans="1:23" s="167" customFormat="1" ht="15">
      <c r="A12" s="163"/>
      <c r="B12" s="164" t="s">
        <v>72</v>
      </c>
      <c r="C12" s="276">
        <f>IF(ISBLANK(Prediction!D25),"",Prediction!D13)</f>
      </c>
      <c r="D12" s="277"/>
      <c r="E12" s="282">
        <f>IF(ISBLANK(X6),"",X6)</f>
      </c>
      <c r="F12" s="283"/>
      <c r="G12" s="278">
        <f>IF(ISBLANK(Prediction!H25),"",Prediction!H13)</f>
      </c>
      <c r="H12" s="378"/>
      <c r="I12" s="288">
        <f>IF(ISBLANK(V6),"",V6)</f>
      </c>
      <c r="J12" s="289"/>
      <c r="P12" s="2"/>
      <c r="Q12" s="2"/>
      <c r="R12" s="2"/>
      <c r="S12" s="2"/>
      <c r="T12" s="2"/>
      <c r="U12" s="2"/>
      <c r="V12" s="2"/>
      <c r="W12" s="2"/>
    </row>
    <row r="13" spans="1:23" s="167" customFormat="1" ht="15.75" thickBot="1">
      <c r="A13" s="169"/>
      <c r="B13" s="170" t="s">
        <v>73</v>
      </c>
      <c r="C13" s="273">
        <f>IF(ISBLANK(Prediction!D25),"",Prediction!D25)</f>
      </c>
      <c r="D13" s="274"/>
      <c r="E13" s="284">
        <f>IF(ISBLANK(X7),"",X7)</f>
      </c>
      <c r="F13" s="285"/>
      <c r="G13" s="275">
        <f>IF(ISBLANK(Prediction!H25),"",Prediction!H25)</f>
      </c>
      <c r="H13" s="379"/>
      <c r="I13" s="290">
        <f>IF(ISBLANK(V7),"",V7)</f>
      </c>
      <c r="J13" s="291"/>
      <c r="P13" s="2"/>
      <c r="Q13" s="2"/>
      <c r="R13" s="2"/>
      <c r="S13" s="2"/>
      <c r="T13" s="2"/>
      <c r="U13" s="2"/>
      <c r="V13" s="2"/>
      <c r="W13" s="2"/>
    </row>
    <row r="14" spans="1:23" s="167" customFormat="1" ht="16.5" thickBot="1" thickTop="1">
      <c r="A14" s="165"/>
      <c r="B14" s="166" t="s">
        <v>74</v>
      </c>
      <c r="C14" s="279">
        <f>IF(ISBLANK(Prediction!D25),"",C13-C12)</f>
      </c>
      <c r="D14" s="280"/>
      <c r="E14" s="286">
        <f>IF(E13="","",E13-E12)</f>
      </c>
      <c r="F14" s="287"/>
      <c r="G14" s="281">
        <f>IF(ISBLANK(Prediction!H25),"",G13-G12)</f>
      </c>
      <c r="H14" s="380"/>
      <c r="I14" s="292">
        <f>IF(I13="","",I13-I12)</f>
      </c>
      <c r="J14" s="293"/>
      <c r="P14" s="2"/>
      <c r="Q14" s="2"/>
      <c r="R14" s="2"/>
      <c r="S14" s="2"/>
      <c r="T14" s="2"/>
      <c r="U14" s="2"/>
      <c r="V14" s="2"/>
      <c r="W14" s="2"/>
    </row>
    <row r="17" ht="12.75">
      <c r="A17" s="381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8" width="5.28125" style="0" customWidth="1"/>
    <col min="9" max="28" width="4.140625" style="0" customWidth="1"/>
  </cols>
  <sheetData>
    <row r="1" spans="1:28" ht="15.75">
      <c r="A1" s="110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>
      <c r="A2" s="110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9:28" s="96" customFormat="1" ht="12.75">
      <c r="I3" s="144"/>
      <c r="J3" s="145"/>
      <c r="K3" s="145"/>
      <c r="L3" s="146"/>
      <c r="M3" s="147" t="s">
        <v>13</v>
      </c>
      <c r="N3" s="486">
        <v>7.5</v>
      </c>
      <c r="O3" s="148"/>
      <c r="P3" s="148"/>
      <c r="Q3" s="149"/>
      <c r="R3" s="152"/>
      <c r="S3" s="144"/>
      <c r="T3" s="145"/>
      <c r="U3" s="145"/>
      <c r="V3" s="149"/>
      <c r="W3" s="150" t="s">
        <v>14</v>
      </c>
      <c r="X3" s="486">
        <v>5.5</v>
      </c>
      <c r="Y3" s="151"/>
      <c r="Z3" s="151"/>
      <c r="AA3" s="149"/>
      <c r="AB3" s="152"/>
    </row>
    <row r="4" spans="1:28" s="96" customFormat="1" ht="15.75">
      <c r="A4" s="350" t="s">
        <v>15</v>
      </c>
      <c r="B4" s="97" t="s">
        <v>8</v>
      </c>
      <c r="C4" s="97" t="s">
        <v>75</v>
      </c>
      <c r="D4" s="97" t="s">
        <v>76</v>
      </c>
      <c r="E4" s="97" t="s">
        <v>77</v>
      </c>
      <c r="F4" s="97" t="s">
        <v>78</v>
      </c>
      <c r="G4" s="97" t="s">
        <v>79</v>
      </c>
      <c r="H4" s="97" t="s">
        <v>80</v>
      </c>
      <c r="I4" s="153" t="s">
        <v>16</v>
      </c>
      <c r="J4" s="154"/>
      <c r="K4" s="154"/>
      <c r="L4" s="155"/>
      <c r="M4" s="156"/>
      <c r="N4" s="153" t="s">
        <v>17</v>
      </c>
      <c r="O4" s="154"/>
      <c r="P4" s="154"/>
      <c r="Q4" s="155"/>
      <c r="R4" s="157"/>
      <c r="S4" s="153" t="s">
        <v>16</v>
      </c>
      <c r="T4" s="154"/>
      <c r="U4" s="154"/>
      <c r="V4" s="155"/>
      <c r="W4" s="156"/>
      <c r="X4" s="153" t="s">
        <v>17</v>
      </c>
      <c r="Y4" s="154"/>
      <c r="Z4" s="154"/>
      <c r="AA4" s="155"/>
      <c r="AB4" s="157"/>
    </row>
    <row r="5" spans="1:28" s="96" customFormat="1" ht="12.75">
      <c r="A5" s="366">
        <v>1</v>
      </c>
      <c r="B5" s="358" t="s">
        <v>81</v>
      </c>
      <c r="C5" s="359" t="s">
        <v>82</v>
      </c>
      <c r="D5" s="359">
        <v>1</v>
      </c>
      <c r="E5" s="359" t="s">
        <v>83</v>
      </c>
      <c r="F5" s="359">
        <v>1</v>
      </c>
      <c r="G5" s="359">
        <v>1</v>
      </c>
      <c r="H5" s="360" t="s">
        <v>84</v>
      </c>
      <c r="I5" s="351">
        <v>2.6</v>
      </c>
      <c r="J5" s="352">
        <v>2</v>
      </c>
      <c r="K5" s="352">
        <v>2.4</v>
      </c>
      <c r="L5" s="352">
        <v>2.3</v>
      </c>
      <c r="M5" s="353">
        <v>2.4</v>
      </c>
      <c r="N5" s="351">
        <v>1.9</v>
      </c>
      <c r="O5" s="352">
        <v>2.1</v>
      </c>
      <c r="P5" s="352">
        <v>2</v>
      </c>
      <c r="Q5" s="352">
        <v>2.1</v>
      </c>
      <c r="R5" s="353">
        <v>2.1</v>
      </c>
      <c r="S5" s="351">
        <v>1.9</v>
      </c>
      <c r="T5" s="352">
        <v>2.1</v>
      </c>
      <c r="U5" s="352">
        <v>2</v>
      </c>
      <c r="V5" s="352">
        <v>2.1</v>
      </c>
      <c r="W5" s="353">
        <v>2.1</v>
      </c>
      <c r="X5" s="351">
        <v>1.6</v>
      </c>
      <c r="Y5" s="352">
        <v>1.7</v>
      </c>
      <c r="Z5" s="352">
        <v>1.6</v>
      </c>
      <c r="AA5" s="352">
        <v>1.5</v>
      </c>
      <c r="AB5" s="353">
        <v>1.6</v>
      </c>
    </row>
    <row r="6" spans="1:28" s="96" customFormat="1" ht="12.75">
      <c r="A6" s="367">
        <v>2</v>
      </c>
      <c r="B6" s="361" t="s">
        <v>81</v>
      </c>
      <c r="C6" s="349" t="s">
        <v>82</v>
      </c>
      <c r="D6" s="349">
        <v>1</v>
      </c>
      <c r="E6" s="349" t="s">
        <v>85</v>
      </c>
      <c r="F6" s="349" t="s">
        <v>31</v>
      </c>
      <c r="G6" s="349" t="s">
        <v>31</v>
      </c>
      <c r="H6" s="362" t="s">
        <v>86</v>
      </c>
      <c r="I6" s="143">
        <v>2.3</v>
      </c>
      <c r="J6" s="158">
        <v>2.3</v>
      </c>
      <c r="K6" s="158">
        <v>2.2</v>
      </c>
      <c r="L6" s="158">
        <v>2.3</v>
      </c>
      <c r="M6" s="354">
        <v>2.4</v>
      </c>
      <c r="N6" s="143">
        <v>1.9</v>
      </c>
      <c r="O6" s="158">
        <v>1.8</v>
      </c>
      <c r="P6" s="158">
        <v>1.9</v>
      </c>
      <c r="Q6" s="158">
        <v>1.9</v>
      </c>
      <c r="R6" s="354">
        <v>1.9</v>
      </c>
      <c r="S6" s="143">
        <v>1.9</v>
      </c>
      <c r="T6" s="158">
        <v>1.8</v>
      </c>
      <c r="U6" s="158">
        <v>1.8</v>
      </c>
      <c r="V6" s="158">
        <v>1.8</v>
      </c>
      <c r="W6" s="354">
        <v>1.8</v>
      </c>
      <c r="X6" s="143">
        <v>1.4</v>
      </c>
      <c r="Y6" s="158">
        <v>1.5</v>
      </c>
      <c r="Z6" s="158">
        <v>1.4</v>
      </c>
      <c r="AA6" s="158">
        <v>1.5</v>
      </c>
      <c r="AB6" s="354">
        <v>1.4</v>
      </c>
    </row>
    <row r="7" spans="1:28" s="96" customFormat="1" ht="12.75">
      <c r="A7" s="367">
        <v>3</v>
      </c>
      <c r="B7" s="361" t="s">
        <v>81</v>
      </c>
      <c r="C7" s="349" t="s">
        <v>83</v>
      </c>
      <c r="D7" s="349" t="s">
        <v>31</v>
      </c>
      <c r="E7" s="349" t="s">
        <v>83</v>
      </c>
      <c r="F7" s="349">
        <v>1</v>
      </c>
      <c r="G7" s="349" t="s">
        <v>31</v>
      </c>
      <c r="H7" s="362" t="s">
        <v>86</v>
      </c>
      <c r="I7" s="143">
        <v>3</v>
      </c>
      <c r="J7" s="158">
        <v>2.9</v>
      </c>
      <c r="K7" s="158">
        <v>3</v>
      </c>
      <c r="L7" s="158">
        <v>2.9</v>
      </c>
      <c r="M7" s="354">
        <v>2.6</v>
      </c>
      <c r="N7" s="143">
        <v>2</v>
      </c>
      <c r="O7" s="158">
        <v>2</v>
      </c>
      <c r="P7" s="158">
        <v>2</v>
      </c>
      <c r="Q7" s="158">
        <v>2</v>
      </c>
      <c r="R7" s="354">
        <v>2.1</v>
      </c>
      <c r="S7" s="143">
        <v>2.2</v>
      </c>
      <c r="T7" s="158">
        <v>2.2</v>
      </c>
      <c r="U7" s="158">
        <v>2.3</v>
      </c>
      <c r="V7" s="158">
        <v>2.1</v>
      </c>
      <c r="W7" s="354">
        <v>2</v>
      </c>
      <c r="X7" s="143">
        <v>1.5</v>
      </c>
      <c r="Y7" s="158">
        <v>1.7</v>
      </c>
      <c r="Z7" s="158">
        <v>1.5</v>
      </c>
      <c r="AA7" s="158">
        <v>1.5</v>
      </c>
      <c r="AB7" s="354">
        <v>1.6</v>
      </c>
    </row>
    <row r="8" spans="1:28" s="96" customFormat="1" ht="12.75">
      <c r="A8" s="367">
        <v>4</v>
      </c>
      <c r="B8" s="361" t="s">
        <v>81</v>
      </c>
      <c r="C8" s="349" t="s">
        <v>83</v>
      </c>
      <c r="D8" s="349" t="s">
        <v>31</v>
      </c>
      <c r="E8" s="349" t="s">
        <v>85</v>
      </c>
      <c r="F8" s="349" t="s">
        <v>31</v>
      </c>
      <c r="G8" s="349">
        <v>1</v>
      </c>
      <c r="H8" s="362" t="s">
        <v>84</v>
      </c>
      <c r="I8" s="143">
        <v>1.9</v>
      </c>
      <c r="J8" s="158">
        <v>2</v>
      </c>
      <c r="K8" s="158">
        <v>2</v>
      </c>
      <c r="L8" s="158">
        <v>2</v>
      </c>
      <c r="M8" s="354">
        <v>1.9</v>
      </c>
      <c r="N8" s="143">
        <v>1.5</v>
      </c>
      <c r="O8" s="158">
        <v>1.6</v>
      </c>
      <c r="P8" s="158">
        <v>1.8</v>
      </c>
      <c r="Q8" s="158">
        <v>1.7</v>
      </c>
      <c r="R8" s="354">
        <v>1.6</v>
      </c>
      <c r="S8" s="143">
        <v>1.5</v>
      </c>
      <c r="T8" s="158">
        <v>1.4</v>
      </c>
      <c r="U8" s="158">
        <v>1.6</v>
      </c>
      <c r="V8" s="158">
        <v>1.6</v>
      </c>
      <c r="W8" s="354">
        <v>1.6</v>
      </c>
      <c r="X8" s="143">
        <v>1.2</v>
      </c>
      <c r="Y8" s="158">
        <v>1.3</v>
      </c>
      <c r="Z8" s="158">
        <v>1.2</v>
      </c>
      <c r="AA8" s="158">
        <v>1.2</v>
      </c>
      <c r="AB8" s="354">
        <v>1.3</v>
      </c>
    </row>
    <row r="9" spans="1:28" s="96" customFormat="1" ht="12.75">
      <c r="A9" s="367">
        <v>5</v>
      </c>
      <c r="B9" s="361" t="s">
        <v>82</v>
      </c>
      <c r="C9" s="349" t="s">
        <v>82</v>
      </c>
      <c r="D9" s="349" t="s">
        <v>31</v>
      </c>
      <c r="E9" s="349" t="s">
        <v>83</v>
      </c>
      <c r="F9" s="349" t="s">
        <v>31</v>
      </c>
      <c r="G9" s="349">
        <v>1</v>
      </c>
      <c r="H9" s="362" t="s">
        <v>86</v>
      </c>
      <c r="I9" s="143">
        <v>2</v>
      </c>
      <c r="J9" s="158">
        <v>2.2</v>
      </c>
      <c r="K9" s="158">
        <v>1.9</v>
      </c>
      <c r="L9" s="158">
        <v>1.9</v>
      </c>
      <c r="M9" s="354">
        <v>1.9</v>
      </c>
      <c r="N9" s="143">
        <v>1.3</v>
      </c>
      <c r="O9" s="158">
        <v>1.4</v>
      </c>
      <c r="P9" s="158">
        <v>1.3</v>
      </c>
      <c r="Q9" s="158">
        <v>1.3</v>
      </c>
      <c r="R9" s="354">
        <v>1.3</v>
      </c>
      <c r="S9" s="143">
        <v>1.5</v>
      </c>
      <c r="T9" s="158">
        <v>1.4</v>
      </c>
      <c r="U9" s="158">
        <v>1.4</v>
      </c>
      <c r="V9" s="158">
        <v>1.4</v>
      </c>
      <c r="W9" s="354">
        <v>1.5</v>
      </c>
      <c r="X9" s="143">
        <v>1</v>
      </c>
      <c r="Y9" s="158">
        <v>1</v>
      </c>
      <c r="Z9" s="158">
        <v>1</v>
      </c>
      <c r="AA9" s="158">
        <v>0.9</v>
      </c>
      <c r="AB9" s="354">
        <v>0.9</v>
      </c>
    </row>
    <row r="10" spans="1:28" s="96" customFormat="1" ht="12.75">
      <c r="A10" s="367">
        <v>6</v>
      </c>
      <c r="B10" s="361" t="s">
        <v>82</v>
      </c>
      <c r="C10" s="349" t="s">
        <v>82</v>
      </c>
      <c r="D10" s="349" t="s">
        <v>31</v>
      </c>
      <c r="E10" s="349" t="s">
        <v>85</v>
      </c>
      <c r="F10" s="349">
        <v>1</v>
      </c>
      <c r="G10" s="349" t="s">
        <v>31</v>
      </c>
      <c r="H10" s="362" t="s">
        <v>84</v>
      </c>
      <c r="I10" s="143">
        <v>1.6</v>
      </c>
      <c r="J10" s="158">
        <v>1.6</v>
      </c>
      <c r="K10" s="158">
        <v>1.6</v>
      </c>
      <c r="L10" s="158">
        <v>1.6</v>
      </c>
      <c r="M10" s="354">
        <v>1.6</v>
      </c>
      <c r="N10" s="143">
        <v>1.2</v>
      </c>
      <c r="O10" s="158">
        <v>1.3</v>
      </c>
      <c r="P10" s="158">
        <v>1.2</v>
      </c>
      <c r="Q10" s="158">
        <v>1.2</v>
      </c>
      <c r="R10" s="354">
        <v>1.2</v>
      </c>
      <c r="S10" s="143">
        <v>1.3</v>
      </c>
      <c r="T10" s="158">
        <v>1.3</v>
      </c>
      <c r="U10" s="158">
        <v>1.2</v>
      </c>
      <c r="V10" s="158">
        <v>1.2</v>
      </c>
      <c r="W10" s="354">
        <v>1.3</v>
      </c>
      <c r="X10" s="143">
        <v>0.9</v>
      </c>
      <c r="Y10" s="158">
        <v>0.9</v>
      </c>
      <c r="Z10" s="158">
        <v>0.9</v>
      </c>
      <c r="AA10" s="158">
        <v>0.9</v>
      </c>
      <c r="AB10" s="354">
        <v>0.9</v>
      </c>
    </row>
    <row r="11" spans="1:28" s="96" customFormat="1" ht="12.75">
      <c r="A11" s="367">
        <v>7</v>
      </c>
      <c r="B11" s="361" t="s">
        <v>82</v>
      </c>
      <c r="C11" s="349" t="s">
        <v>83</v>
      </c>
      <c r="D11" s="349">
        <v>1</v>
      </c>
      <c r="E11" s="349" t="s">
        <v>83</v>
      </c>
      <c r="F11" s="349" t="s">
        <v>31</v>
      </c>
      <c r="G11" s="349" t="s">
        <v>31</v>
      </c>
      <c r="H11" s="362" t="s">
        <v>84</v>
      </c>
      <c r="I11" s="143">
        <v>1.7</v>
      </c>
      <c r="J11" s="158">
        <v>1.6</v>
      </c>
      <c r="K11" s="158">
        <v>1.6</v>
      </c>
      <c r="L11" s="158">
        <v>1.6</v>
      </c>
      <c r="M11" s="354">
        <v>1.6</v>
      </c>
      <c r="N11" s="143">
        <v>1</v>
      </c>
      <c r="O11" s="158">
        <v>1</v>
      </c>
      <c r="P11" s="158">
        <v>1</v>
      </c>
      <c r="Q11" s="158">
        <v>1</v>
      </c>
      <c r="R11" s="354">
        <v>1</v>
      </c>
      <c r="S11" s="143">
        <v>1.2</v>
      </c>
      <c r="T11" s="158">
        <v>1.2</v>
      </c>
      <c r="U11" s="158">
        <v>1.3</v>
      </c>
      <c r="V11" s="158">
        <v>1.2</v>
      </c>
      <c r="W11" s="354">
        <v>1.2</v>
      </c>
      <c r="X11" s="143">
        <v>0.8</v>
      </c>
      <c r="Y11" s="158">
        <v>0.8</v>
      </c>
      <c r="Z11" s="158">
        <v>0.9</v>
      </c>
      <c r="AA11" s="158">
        <v>0.8</v>
      </c>
      <c r="AB11" s="354">
        <v>0.8</v>
      </c>
    </row>
    <row r="12" spans="1:28" s="96" customFormat="1" ht="12.75">
      <c r="A12" s="368">
        <v>8</v>
      </c>
      <c r="B12" s="363" t="s">
        <v>82</v>
      </c>
      <c r="C12" s="364" t="s">
        <v>83</v>
      </c>
      <c r="D12" s="364">
        <v>1</v>
      </c>
      <c r="E12" s="364" t="s">
        <v>85</v>
      </c>
      <c r="F12" s="364">
        <v>1</v>
      </c>
      <c r="G12" s="364">
        <v>1</v>
      </c>
      <c r="H12" s="365" t="s">
        <v>86</v>
      </c>
      <c r="I12" s="355">
        <v>1.4</v>
      </c>
      <c r="J12" s="356">
        <v>1.4</v>
      </c>
      <c r="K12" s="356">
        <v>1.43</v>
      </c>
      <c r="L12" s="356">
        <v>1.2</v>
      </c>
      <c r="M12" s="357">
        <v>1.4</v>
      </c>
      <c r="N12" s="355">
        <v>1</v>
      </c>
      <c r="O12" s="356">
        <v>1</v>
      </c>
      <c r="P12" s="356">
        <v>1.1</v>
      </c>
      <c r="Q12" s="356">
        <v>1.1</v>
      </c>
      <c r="R12" s="357">
        <v>1</v>
      </c>
      <c r="S12" s="355">
        <v>1.1</v>
      </c>
      <c r="T12" s="356">
        <v>1</v>
      </c>
      <c r="U12" s="356">
        <v>1.1</v>
      </c>
      <c r="V12" s="356">
        <v>1</v>
      </c>
      <c r="W12" s="357">
        <v>1.1</v>
      </c>
      <c r="X12" s="355">
        <v>0.9</v>
      </c>
      <c r="Y12" s="356">
        <v>0.8</v>
      </c>
      <c r="Z12" s="356">
        <v>0.7</v>
      </c>
      <c r="AA12" s="356">
        <v>0.8</v>
      </c>
      <c r="AB12" s="357">
        <v>0.7</v>
      </c>
    </row>
    <row r="13" s="96" customFormat="1" ht="12.75"/>
    <row r="14" spans="1:28" ht="12.75">
      <c r="A14" t="s">
        <v>87</v>
      </c>
      <c r="G14" s="499"/>
      <c r="H14" s="500" t="s">
        <v>67</v>
      </c>
      <c r="I14" s="501">
        <v>1.8</v>
      </c>
      <c r="J14" s="502">
        <v>1.9</v>
      </c>
      <c r="K14" s="502">
        <v>1.8</v>
      </c>
      <c r="L14" s="502">
        <v>1.9</v>
      </c>
      <c r="M14" s="503">
        <v>1.9</v>
      </c>
      <c r="N14" s="501">
        <v>1.1</v>
      </c>
      <c r="O14" s="502">
        <v>1.2</v>
      </c>
      <c r="P14" s="502">
        <v>1.1</v>
      </c>
      <c r="Q14" s="502">
        <v>1.2</v>
      </c>
      <c r="R14" s="503">
        <v>1.2</v>
      </c>
      <c r="S14" s="501">
        <v>1.5</v>
      </c>
      <c r="T14" s="502">
        <v>1.3</v>
      </c>
      <c r="U14" s="502">
        <v>1.5</v>
      </c>
      <c r="V14" s="502">
        <v>1.4</v>
      </c>
      <c r="W14" s="503">
        <v>1.3</v>
      </c>
      <c r="X14" s="501">
        <v>0.9</v>
      </c>
      <c r="Y14" s="502">
        <v>0.9</v>
      </c>
      <c r="Z14" s="502">
        <v>0.9</v>
      </c>
      <c r="AA14" s="502">
        <v>0.9</v>
      </c>
      <c r="AB14" s="503">
        <v>0.9</v>
      </c>
    </row>
    <row r="15" spans="1:28" ht="12.75">
      <c r="A15" t="s">
        <v>88</v>
      </c>
      <c r="G15" s="504"/>
      <c r="H15" s="505" t="s">
        <v>68</v>
      </c>
      <c r="I15" s="506">
        <v>2.2</v>
      </c>
      <c r="J15" s="507">
        <v>2.1</v>
      </c>
      <c r="K15" s="507">
        <v>2.1</v>
      </c>
      <c r="L15" s="507">
        <v>2.2</v>
      </c>
      <c r="M15" s="508">
        <v>2.2</v>
      </c>
      <c r="N15" s="506">
        <v>1.8</v>
      </c>
      <c r="O15" s="507">
        <v>1.8</v>
      </c>
      <c r="P15" s="507">
        <v>1.9</v>
      </c>
      <c r="Q15" s="507">
        <v>1.7</v>
      </c>
      <c r="R15" s="508">
        <v>1.9</v>
      </c>
      <c r="S15" s="506">
        <v>1.8</v>
      </c>
      <c r="T15" s="507">
        <v>1.7</v>
      </c>
      <c r="U15" s="507">
        <v>1.7</v>
      </c>
      <c r="V15" s="507">
        <v>1.8</v>
      </c>
      <c r="W15" s="508">
        <v>1.6</v>
      </c>
      <c r="X15" s="506">
        <v>1.4</v>
      </c>
      <c r="Y15" s="507">
        <v>1.4</v>
      </c>
      <c r="Z15" s="507">
        <v>1.3</v>
      </c>
      <c r="AA15" s="507">
        <v>1.4</v>
      </c>
      <c r="AB15" s="508">
        <v>1.3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2003-06-27T13:05:57Z</dcterms:modified>
  <cp:category/>
  <cp:version/>
  <cp:contentType/>
  <cp:contentStatus/>
</cp:coreProperties>
</file>