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13170" activeTab="0"/>
  </bookViews>
  <sheets>
    <sheet name="Policies" sheetId="1" r:id="rId1"/>
    <sheet name="Finance" sheetId="2" r:id="rId2"/>
    <sheet name="Auto_Toll" sheetId="3" r:id="rId3"/>
    <sheet name="Mode_Shares" sheetId="4" r:id="rId4"/>
    <sheet name="Passenger_Rearranged" sheetId="5" r:id="rId5"/>
    <sheet name="Freight_Rearranged" sheetId="6" r:id="rId6"/>
    <sheet name="Total_Emissions" sheetId="7" r:id="rId7"/>
    <sheet name="Total_Congestion" sheetId="8" r:id="rId8"/>
  </sheets>
  <definedNames>
    <definedName name="solver_adj" localSheetId="2" hidden="1">'Auto_Toll'!$D$7:$D$21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'Auto_Toll'!$E$22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<sst xmlns="http://schemas.openxmlformats.org/spreadsheetml/2006/main" count="525" uniqueCount="165">
  <si>
    <t>Vehicle type</t>
  </si>
  <si>
    <t># vehicles</t>
  </si>
  <si>
    <t>year</t>
  </si>
  <si>
    <t>emissions</t>
  </si>
  <si>
    <t>HC</t>
  </si>
  <si>
    <t>CO</t>
  </si>
  <si>
    <t>NOx</t>
  </si>
  <si>
    <t>PM10</t>
  </si>
  <si>
    <t>SOx</t>
  </si>
  <si>
    <t>Taxi</t>
  </si>
  <si>
    <t>Colectivo</t>
  </si>
  <si>
    <t>Auto</t>
  </si>
  <si>
    <t>Diesel bus</t>
  </si>
  <si>
    <t>Mode share</t>
  </si>
  <si>
    <t>Population</t>
  </si>
  <si>
    <t>2005 Population</t>
  </si>
  <si>
    <t>Rate of Growth</t>
  </si>
  <si>
    <t>Metro &amp; LRT</t>
  </si>
  <si>
    <t>VKT</t>
  </si>
  <si>
    <t>Light Duty Gas Truck</t>
  </si>
  <si>
    <t>Heavy Duty Gas Truck</t>
  </si>
  <si>
    <t>Heavy Duty Diesel Truck</t>
  </si>
  <si>
    <t>Natural Gas Truck</t>
  </si>
  <si>
    <t>2005 Tonnage</t>
  </si>
  <si>
    <t>emission factors (grams per kilometer)</t>
  </si>
  <si>
    <t>Railroad</t>
  </si>
  <si>
    <t>Year</t>
  </si>
  <si>
    <t>Periferico</t>
  </si>
  <si>
    <t>All other roads</t>
  </si>
  <si>
    <t>Revenues</t>
  </si>
  <si>
    <t>VKT (function of tolls)</t>
  </si>
  <si>
    <t>emissions (grams)</t>
  </si>
  <si>
    <t>Total (tonnes)</t>
  </si>
  <si>
    <t>Total (grams)</t>
  </si>
  <si>
    <t>Average user toll</t>
  </si>
  <si>
    <t>persons per veh</t>
  </si>
  <si>
    <t>person-km</t>
  </si>
  <si>
    <t>Cost</t>
  </si>
  <si>
    <t>IVTT</t>
  </si>
  <si>
    <t>OVTT</t>
  </si>
  <si>
    <t>ASC</t>
  </si>
  <si>
    <t>%</t>
  </si>
  <si>
    <t>avgcost</t>
  </si>
  <si>
    <t>avgivtt</t>
  </si>
  <si>
    <t>avgovtt</t>
  </si>
  <si>
    <t>utility</t>
  </si>
  <si>
    <t>taxi</t>
  </si>
  <si>
    <t>colectivo</t>
  </si>
  <si>
    <t>auto</t>
  </si>
  <si>
    <t>bus</t>
  </si>
  <si>
    <t>metro</t>
  </si>
  <si>
    <t>cost</t>
  </si>
  <si>
    <t>ivtt</t>
  </si>
  <si>
    <t>ovtt</t>
  </si>
  <si>
    <t>ms</t>
  </si>
  <si>
    <t>TAXI</t>
  </si>
  <si>
    <t>COLECTIVO</t>
  </si>
  <si>
    <t>AUTO</t>
  </si>
  <si>
    <t>BUS</t>
  </si>
  <si>
    <t>METRO</t>
  </si>
  <si>
    <t>Capacity</t>
  </si>
  <si>
    <t>Demand-passenger</t>
  </si>
  <si>
    <t>Demand-freight</t>
  </si>
  <si>
    <t>Excess VKT</t>
  </si>
  <si>
    <t>Excess TT</t>
  </si>
  <si>
    <t>TT-Freight</t>
  </si>
  <si>
    <t>Freight-cost</t>
  </si>
  <si>
    <t>Capacity Growth Rate</t>
  </si>
  <si>
    <t>TT-cost</t>
  </si>
  <si>
    <t>Total Cost</t>
  </si>
  <si>
    <t>Expense</t>
  </si>
  <si>
    <t>Item</t>
  </si>
  <si>
    <t>Total Income</t>
  </si>
  <si>
    <t>Balance</t>
  </si>
  <si>
    <t>Other Income (Toll)</t>
  </si>
  <si>
    <t>Income (Grant or Loan)</t>
  </si>
  <si>
    <t>Total Expense</t>
  </si>
  <si>
    <t>Total Expenses</t>
  </si>
  <si>
    <t>Limits for</t>
  </si>
  <si>
    <t>2005-2008</t>
  </si>
  <si>
    <t>2009-2012</t>
  </si>
  <si>
    <t>2013-2016</t>
  </si>
  <si>
    <t>2017-2020</t>
  </si>
  <si>
    <t>Natural Gas Growth Rate</t>
  </si>
  <si>
    <t>RR Rate 2006-2015</t>
  </si>
  <si>
    <t>RR Rate 2016-2020</t>
  </si>
  <si>
    <t>vehicle-km</t>
  </si>
  <si>
    <t>% of vkt</t>
  </si>
  <si>
    <t>vkt</t>
  </si>
  <si>
    <t>Penalty</t>
  </si>
  <si>
    <t>TOTAL</t>
  </si>
  <si>
    <t>Env Fine</t>
  </si>
  <si>
    <t>Congestion Fine</t>
  </si>
  <si>
    <t>Passenger</t>
  </si>
  <si>
    <t>Freight</t>
  </si>
  <si>
    <t>Impact</t>
  </si>
  <si>
    <t>Comments</t>
  </si>
  <si>
    <t>New Taxi Fleet</t>
  </si>
  <si>
    <t>10k per taxi</t>
  </si>
  <si>
    <t>.01 redux per 5000 taxis off of base ef/max of 40k taxis</t>
  </si>
  <si>
    <t>100k taxis</t>
  </si>
  <si>
    <t>New NG Trucks</t>
  </si>
  <si>
    <t>200k per truck</t>
  </si>
  <si>
    <t>1% increase per 200 trucks/400M for 1%/max of 1000 trucks</t>
  </si>
  <si>
    <t>currently 400k total trucks</t>
  </si>
  <si>
    <t>New Colect Fleet</t>
  </si>
  <si>
    <t>75k per colect</t>
  </si>
  <si>
    <t>37500 colects</t>
  </si>
  <si>
    <t>Freight Transfers</t>
  </si>
  <si>
    <t>reduce base year VKT by 1% per facility/max of 4 facilities</t>
  </si>
  <si>
    <t>Lower Metro prices</t>
  </si>
  <si>
    <t>1 B subsidy in 2015</t>
  </si>
  <si>
    <t>Hold cost at .5 from 2011-2020</t>
  </si>
  <si>
    <t>RR</t>
  </si>
  <si>
    <t>1 B</t>
  </si>
  <si>
    <t>usage 1.01 2006-2015, 1 2016-2020</t>
  </si>
  <si>
    <t>Hwy upper deck</t>
  </si>
  <si>
    <t>2B</t>
  </si>
  <si>
    <t>expand capacity growth rate by .02</t>
  </si>
  <si>
    <t>Publicly-owned logistics co</t>
  </si>
  <si>
    <t>50 M</t>
  </si>
  <si>
    <t>reduce 2015-2020 VKT by 1%</t>
  </si>
  <si>
    <t>Convert to BRT</t>
  </si>
  <si>
    <t>1.5 B</t>
  </si>
  <si>
    <t>bus ivtt decreases 50% in 2011/hold costs at .75</t>
  </si>
  <si>
    <t>Intermodal colects-Metro</t>
  </si>
  <si>
    <t>100M per facility</t>
  </si>
  <si>
    <t>Metro expansion to EM</t>
  </si>
  <si>
    <t>reduce PVKT by 1% beginning 2010</t>
  </si>
  <si>
    <t>Round up illegal taxis</t>
  </si>
  <si>
    <t>100M</t>
  </si>
  <si>
    <t>New airport + HSR</t>
  </si>
  <si>
    <t>5 B</t>
  </si>
  <si>
    <t>expand capacity growth rate by .001</t>
  </si>
  <si>
    <t>Toll road system</t>
  </si>
  <si>
    <t>raise cost of auto</t>
  </si>
  <si>
    <t>Periferico toll</t>
  </si>
  <si>
    <t>Operations/ITS</t>
  </si>
  <si>
    <t>500M</t>
  </si>
  <si>
    <t>raise capacity by .005</t>
  </si>
  <si>
    <t>40k taxis</t>
  </si>
  <si>
    <t>400M</t>
  </si>
  <si>
    <t>10k colects</t>
  </si>
  <si>
    <t>750M</t>
  </si>
  <si>
    <t>Total Cost to Gov</t>
  </si>
  <si>
    <t>.01 redux per 1000 colects off of base ef/max of 10k colectivos</t>
  </si>
  <si>
    <t>Hwy</t>
  </si>
  <si>
    <t>Tolls</t>
  </si>
  <si>
    <t>ITS</t>
  </si>
  <si>
    <t>Metro</t>
  </si>
  <si>
    <t>25M per facility</t>
  </si>
  <si>
    <t>FrtTransfer</t>
  </si>
  <si>
    <t>Imodal</t>
  </si>
  <si>
    <t>reduce PVKT by 1% per facility beginning 2008, max of 5 facilities</t>
  </si>
  <si>
    <t>Log Co</t>
  </si>
  <si>
    <t>Taxi Subs</t>
  </si>
  <si>
    <t>ColectSub</t>
  </si>
  <si>
    <t>increase taxi cost by 10% 2006</t>
  </si>
  <si>
    <t>DF</t>
  </si>
  <si>
    <t>EM</t>
  </si>
  <si>
    <t>Upperdeck</t>
  </si>
  <si>
    <t>Tollroads</t>
  </si>
  <si>
    <t>Ops/ITS</t>
  </si>
  <si>
    <t>Frt Transfer</t>
  </si>
  <si>
    <t>SC Cost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</si>
</sst>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  <numFmt numFmtId="172" formatCode="0.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8" xfId="0" applyNumberFormat="1" applyBorder="1" applyAlignment="1">
      <alignment/>
    </xf>
    <xf numFmtId="2" fontId="0" fillId="0" borderId="1" xfId="0" applyNumberForma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2" fontId="0" fillId="0" borderId="3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7" xfId="0" applyNumberFormat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4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4" borderId="4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0" fillId="5" borderId="4" xfId="0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0" fontId="0" fillId="5" borderId="6" xfId="0" applyFill="1" applyBorder="1" applyAlignment="1">
      <alignment/>
    </xf>
    <xf numFmtId="3" fontId="0" fillId="5" borderId="7" xfId="0" applyNumberFormat="1" applyFill="1" applyBorder="1" applyAlignment="1">
      <alignment/>
    </xf>
    <xf numFmtId="3" fontId="0" fillId="5" borderId="8" xfId="0" applyNumberFormat="1" applyFill="1" applyBorder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171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172" fontId="0" fillId="6" borderId="0" xfId="0" applyNumberFormat="1" applyFill="1" applyBorder="1" applyAlignment="1">
      <alignment/>
    </xf>
    <xf numFmtId="2" fontId="0" fillId="6" borderId="0" xfId="0" applyNumberFormat="1" applyFill="1" applyAlignment="1">
      <alignment/>
    </xf>
    <xf numFmtId="171" fontId="0" fillId="6" borderId="0" xfId="0" applyNumberFormat="1" applyFill="1" applyAlignment="1">
      <alignment/>
    </xf>
    <xf numFmtId="172" fontId="0" fillId="6" borderId="0" xfId="0" applyNumberForma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171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3" fontId="0" fillId="7" borderId="0" xfId="0" applyNumberFormat="1" applyFill="1" applyBorder="1" applyAlignment="1">
      <alignment/>
    </xf>
    <xf numFmtId="2" fontId="0" fillId="7" borderId="0" xfId="0" applyNumberFormat="1" applyFill="1" applyBorder="1" applyAlignment="1">
      <alignment/>
    </xf>
    <xf numFmtId="172" fontId="0" fillId="7" borderId="0" xfId="0" applyNumberFormat="1" applyFill="1" applyBorder="1" applyAlignment="1">
      <alignment/>
    </xf>
    <xf numFmtId="0" fontId="0" fillId="8" borderId="0" xfId="0" applyFill="1" applyAlignment="1">
      <alignment/>
    </xf>
    <xf numFmtId="1" fontId="0" fillId="8" borderId="0" xfId="0" applyNumberFormat="1" applyFill="1" applyAlignment="1">
      <alignment/>
    </xf>
    <xf numFmtId="171" fontId="0" fillId="8" borderId="0" xfId="0" applyNumberFormat="1" applyFill="1" applyBorder="1" applyAlignment="1">
      <alignment/>
    </xf>
    <xf numFmtId="3" fontId="0" fillId="8" borderId="0" xfId="0" applyNumberFormat="1" applyFill="1" applyBorder="1" applyAlignment="1">
      <alignment/>
    </xf>
    <xf numFmtId="2" fontId="0" fillId="8" borderId="0" xfId="0" applyNumberFormat="1" applyFill="1" applyBorder="1" applyAlignment="1">
      <alignment/>
    </xf>
    <xf numFmtId="172" fontId="0" fillId="8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Alignment="1">
      <alignment/>
    </xf>
    <xf numFmtId="1" fontId="0" fillId="9" borderId="0" xfId="0" applyNumberFormat="1" applyFill="1" applyAlignment="1">
      <alignment/>
    </xf>
    <xf numFmtId="171" fontId="0" fillId="9" borderId="0" xfId="0" applyNumberFormat="1" applyFill="1" applyBorder="1" applyAlignment="1">
      <alignment/>
    </xf>
    <xf numFmtId="3" fontId="0" fillId="9" borderId="0" xfId="0" applyNumberFormat="1" applyFill="1" applyBorder="1" applyAlignment="1">
      <alignment/>
    </xf>
    <xf numFmtId="2" fontId="0" fillId="9" borderId="0" xfId="0" applyNumberFormat="1" applyFill="1" applyBorder="1" applyAlignment="1">
      <alignment/>
    </xf>
    <xf numFmtId="172" fontId="0" fillId="9" borderId="0" xfId="0" applyNumberFormat="1" applyFill="1" applyBorder="1" applyAlignment="1">
      <alignment/>
    </xf>
    <xf numFmtId="0" fontId="0" fillId="9" borderId="0" xfId="0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10" borderId="0" xfId="0" applyFill="1" applyBorder="1" applyAlignment="1">
      <alignment/>
    </xf>
    <xf numFmtId="170" fontId="0" fillId="1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70" fontId="0" fillId="3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70" fontId="0" fillId="5" borderId="0" xfId="0" applyNumberFormat="1" applyFill="1" applyAlignment="1">
      <alignment/>
    </xf>
    <xf numFmtId="170" fontId="0" fillId="5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11" borderId="0" xfId="0" applyFill="1" applyBorder="1" applyAlignment="1">
      <alignment/>
    </xf>
    <xf numFmtId="170" fontId="0" fillId="11" borderId="0" xfId="0" applyNumberFormat="1" applyFill="1" applyAlignment="1">
      <alignment/>
    </xf>
    <xf numFmtId="0" fontId="0" fillId="11" borderId="0" xfId="0" applyFill="1" applyAlignment="1">
      <alignment/>
    </xf>
    <xf numFmtId="170" fontId="0" fillId="10" borderId="0" xfId="0" applyNumberFormat="1" applyFill="1" applyAlignment="1">
      <alignment/>
    </xf>
    <xf numFmtId="0" fontId="0" fillId="10" borderId="0" xfId="0" applyFill="1" applyAlignment="1">
      <alignment/>
    </xf>
    <xf numFmtId="1" fontId="0" fillId="12" borderId="0" xfId="0" applyNumberFormat="1" applyFill="1" applyBorder="1" applyAlignment="1">
      <alignment/>
    </xf>
    <xf numFmtId="170" fontId="0" fillId="12" borderId="0" xfId="0" applyNumberFormat="1" applyFill="1" applyAlignment="1">
      <alignment/>
    </xf>
    <xf numFmtId="0" fontId="0" fillId="12" borderId="0" xfId="0" applyFont="1" applyFill="1" applyAlignment="1">
      <alignment horizontal="right"/>
    </xf>
    <xf numFmtId="0" fontId="0" fillId="12" borderId="0" xfId="0" applyFill="1" applyBorder="1" applyAlignment="1">
      <alignment/>
    </xf>
    <xf numFmtId="0" fontId="0" fillId="12" borderId="0" xfId="0" applyFill="1" applyAlignment="1">
      <alignment/>
    </xf>
    <xf numFmtId="1" fontId="0" fillId="12" borderId="2" xfId="0" applyNumberFormat="1" applyFill="1" applyBorder="1" applyAlignment="1">
      <alignment/>
    </xf>
    <xf numFmtId="170" fontId="0" fillId="12" borderId="2" xfId="0" applyNumberFormat="1" applyFill="1" applyBorder="1" applyAlignment="1">
      <alignment/>
    </xf>
    <xf numFmtId="0" fontId="0" fillId="12" borderId="2" xfId="0" applyFont="1" applyFill="1" applyBorder="1" applyAlignment="1">
      <alignment horizontal="right"/>
    </xf>
    <xf numFmtId="0" fontId="0" fillId="12" borderId="2" xfId="0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70" fontId="0" fillId="12" borderId="0" xfId="0" applyNumberForma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/>
    </xf>
    <xf numFmtId="1" fontId="0" fillId="12" borderId="7" xfId="0" applyNumberFormat="1" applyFill="1" applyBorder="1" applyAlignment="1">
      <alignment/>
    </xf>
    <xf numFmtId="170" fontId="0" fillId="12" borderId="7" xfId="0" applyNumberFormat="1" applyFill="1" applyBorder="1" applyAlignment="1">
      <alignment/>
    </xf>
    <xf numFmtId="0" fontId="0" fillId="12" borderId="7" xfId="0" applyFont="1" applyFill="1" applyBorder="1" applyAlignment="1">
      <alignment horizontal="right"/>
    </xf>
    <xf numFmtId="0" fontId="0" fillId="12" borderId="7" xfId="0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3" fontId="0" fillId="12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12" borderId="0" xfId="0" applyNumberFormat="1" applyFill="1" applyBorder="1" applyAlignment="1">
      <alignment/>
    </xf>
    <xf numFmtId="1" fontId="0" fillId="0" borderId="7" xfId="0" applyNumberFormat="1" applyBorder="1" applyAlignment="1">
      <alignment/>
    </xf>
    <xf numFmtId="3" fontId="0" fillId="12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10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11" borderId="0" xfId="0" applyNumberFormat="1" applyFont="1" applyFill="1" applyBorder="1" applyAlignment="1">
      <alignment horizontal="right"/>
    </xf>
    <xf numFmtId="3" fontId="0" fillId="10" borderId="0" xfId="0" applyNumberFormat="1" applyFill="1" applyBorder="1" applyAlignment="1">
      <alignment/>
    </xf>
    <xf numFmtId="3" fontId="0" fillId="11" borderId="0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13" borderId="7" xfId="0" applyNumberFormat="1" applyFill="1" applyBorder="1" applyAlignment="1">
      <alignment/>
    </xf>
    <xf numFmtId="3" fontId="0" fillId="13" borderId="8" xfId="0" applyNumberFormat="1" applyFill="1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12" borderId="0" xfId="0" applyFont="1" applyFill="1" applyAlignment="1">
      <alignment/>
    </xf>
    <xf numFmtId="0" fontId="0" fillId="0" borderId="0" xfId="0" applyFont="1" applyAlignment="1">
      <alignment/>
    </xf>
    <xf numFmtId="0" fontId="0" fillId="12" borderId="0" xfId="0" applyFont="1" applyFill="1" applyAlignment="1">
      <alignment/>
    </xf>
    <xf numFmtId="3" fontId="0" fillId="13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21.7109375" style="155" customWidth="1"/>
    <col min="2" max="2" width="16.421875" style="155" customWidth="1"/>
    <col min="3" max="3" width="38.00390625" style="155" customWidth="1"/>
    <col min="4" max="4" width="16.421875" style="155" customWidth="1"/>
    <col min="5" max="5" width="5.140625" style="156" customWidth="1"/>
    <col min="6" max="6" width="24.00390625" style="155" customWidth="1"/>
    <col min="7" max="9" width="16.421875" style="155" customWidth="1"/>
    <col min="10" max="16384" width="9.140625" style="155" customWidth="1"/>
  </cols>
  <sheetData>
    <row r="1" spans="1:6" ht="12.75">
      <c r="A1" s="50" t="s">
        <v>93</v>
      </c>
      <c r="B1" s="50"/>
      <c r="C1" s="50"/>
      <c r="D1" s="50"/>
      <c r="E1" s="154"/>
      <c r="F1" s="50" t="s">
        <v>94</v>
      </c>
    </row>
    <row r="2" spans="1:8" ht="12.75">
      <c r="A2" s="50" t="s">
        <v>71</v>
      </c>
      <c r="B2" s="50" t="s">
        <v>37</v>
      </c>
      <c r="C2" s="50" t="s">
        <v>95</v>
      </c>
      <c r="D2" s="50" t="s">
        <v>96</v>
      </c>
      <c r="E2" s="154"/>
      <c r="F2" s="50" t="s">
        <v>71</v>
      </c>
      <c r="G2" s="50" t="s">
        <v>37</v>
      </c>
      <c r="H2" s="50" t="s">
        <v>95</v>
      </c>
    </row>
    <row r="3" spans="1:10" ht="12.75">
      <c r="A3" s="50" t="s">
        <v>97</v>
      </c>
      <c r="B3" s="50" t="s">
        <v>98</v>
      </c>
      <c r="C3" s="50" t="s">
        <v>99</v>
      </c>
      <c r="D3" s="155" t="s">
        <v>100</v>
      </c>
      <c r="F3" s="155" t="s">
        <v>101</v>
      </c>
      <c r="G3" s="155" t="s">
        <v>102</v>
      </c>
      <c r="H3" s="155" t="s">
        <v>103</v>
      </c>
      <c r="J3" s="155" t="s">
        <v>104</v>
      </c>
    </row>
    <row r="4" spans="1:8" ht="12.75">
      <c r="A4" s="50" t="s">
        <v>105</v>
      </c>
      <c r="B4" s="50" t="s">
        <v>106</v>
      </c>
      <c r="C4" s="50" t="s">
        <v>145</v>
      </c>
      <c r="D4" s="155" t="s">
        <v>107</v>
      </c>
      <c r="F4" s="50" t="s">
        <v>108</v>
      </c>
      <c r="G4" s="50" t="s">
        <v>150</v>
      </c>
      <c r="H4" s="50" t="s">
        <v>109</v>
      </c>
    </row>
    <row r="5" spans="1:8" ht="12.75">
      <c r="A5" s="155" t="s">
        <v>110</v>
      </c>
      <c r="B5" s="155" t="s">
        <v>111</v>
      </c>
      <c r="C5" s="155" t="s">
        <v>112</v>
      </c>
      <c r="F5" s="155" t="s">
        <v>113</v>
      </c>
      <c r="G5" s="155" t="s">
        <v>114</v>
      </c>
      <c r="H5" s="155" t="s">
        <v>115</v>
      </c>
    </row>
    <row r="6" spans="1:8" ht="12.75">
      <c r="A6" s="50" t="s">
        <v>116</v>
      </c>
      <c r="B6" s="50" t="s">
        <v>117</v>
      </c>
      <c r="C6" s="50" t="s">
        <v>118</v>
      </c>
      <c r="F6" s="50" t="s">
        <v>119</v>
      </c>
      <c r="G6" s="50" t="s">
        <v>120</v>
      </c>
      <c r="H6" s="50" t="s">
        <v>121</v>
      </c>
    </row>
    <row r="7" spans="1:3" ht="12.75">
      <c r="A7" s="155" t="s">
        <v>122</v>
      </c>
      <c r="B7" s="155" t="s">
        <v>123</v>
      </c>
      <c r="C7" s="155" t="s">
        <v>124</v>
      </c>
    </row>
    <row r="8" spans="1:3" ht="12.75">
      <c r="A8" s="50" t="s">
        <v>125</v>
      </c>
      <c r="B8" s="50" t="s">
        <v>126</v>
      </c>
      <c r="C8" s="50" t="s">
        <v>153</v>
      </c>
    </row>
    <row r="9" spans="1:3" ht="12.75">
      <c r="A9" s="50" t="s">
        <v>127</v>
      </c>
      <c r="B9" s="50" t="s">
        <v>123</v>
      </c>
      <c r="C9" s="50" t="s">
        <v>128</v>
      </c>
    </row>
    <row r="10" spans="1:3" ht="12.75">
      <c r="A10" s="155" t="s">
        <v>129</v>
      </c>
      <c r="B10" s="155" t="s">
        <v>130</v>
      </c>
      <c r="C10" s="155" t="s">
        <v>157</v>
      </c>
    </row>
    <row r="11" spans="1:3" ht="12.75">
      <c r="A11" s="155" t="s">
        <v>131</v>
      </c>
      <c r="B11" s="155" t="s">
        <v>132</v>
      </c>
      <c r="C11" s="155" t="s">
        <v>133</v>
      </c>
    </row>
    <row r="12" spans="1:3" ht="12.75">
      <c r="A12" s="50" t="s">
        <v>134</v>
      </c>
      <c r="B12" s="50" t="s">
        <v>130</v>
      </c>
      <c r="C12" s="50" t="s">
        <v>135</v>
      </c>
    </row>
    <row r="13" spans="1:3" ht="12.75">
      <c r="A13" s="50" t="s">
        <v>136</v>
      </c>
      <c r="B13" s="50" t="s">
        <v>130</v>
      </c>
      <c r="C13" s="50" t="s">
        <v>135</v>
      </c>
    </row>
    <row r="14" spans="1:3" ht="12.75">
      <c r="A14" s="50" t="s">
        <v>137</v>
      </c>
      <c r="B14" s="50" t="s">
        <v>138</v>
      </c>
      <c r="C14" s="50" t="s">
        <v>139</v>
      </c>
    </row>
    <row r="18" spans="2:3" ht="12.75">
      <c r="B18" s="155" t="s">
        <v>140</v>
      </c>
      <c r="C18" s="155" t="s">
        <v>141</v>
      </c>
    </row>
    <row r="19" spans="2:3" ht="12.75">
      <c r="B19" s="155" t="s">
        <v>142</v>
      </c>
      <c r="C19" s="155" t="s">
        <v>143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B13" sqref="B13"/>
    </sheetView>
  </sheetViews>
  <sheetFormatPr defaultColWidth="9.140625" defaultRowHeight="12.75"/>
  <cols>
    <col min="2" max="2" width="11.7109375" style="0" bestFit="1" customWidth="1"/>
    <col min="3" max="3" width="11.00390625" style="0" customWidth="1"/>
    <col min="4" max="4" width="14.00390625" style="0" customWidth="1"/>
    <col min="5" max="5" width="16.140625" style="0" customWidth="1"/>
    <col min="6" max="6" width="14.00390625" style="0" customWidth="1"/>
    <col min="8" max="8" width="10.00390625" style="0" bestFit="1" customWidth="1"/>
    <col min="10" max="10" width="10.00390625" style="0" bestFit="1" customWidth="1"/>
    <col min="12" max="12" width="11.00390625" style="0" bestFit="1" customWidth="1"/>
    <col min="14" max="14" width="10.00390625" style="0" bestFit="1" customWidth="1"/>
    <col min="15" max="17" width="11.00390625" style="0" bestFit="1" customWidth="1"/>
    <col min="18" max="18" width="14.57421875" style="0" customWidth="1"/>
    <col min="22" max="22" width="10.00390625" style="0" bestFit="1" customWidth="1"/>
    <col min="28" max="28" width="12.7109375" style="0" bestFit="1" customWidth="1"/>
  </cols>
  <sheetData>
    <row r="1" spans="1:6" ht="12.75">
      <c r="A1" t="s">
        <v>26</v>
      </c>
      <c r="B1" t="s">
        <v>75</v>
      </c>
      <c r="C1" t="s">
        <v>74</v>
      </c>
      <c r="D1" t="s">
        <v>72</v>
      </c>
      <c r="E1" t="s">
        <v>77</v>
      </c>
      <c r="F1" t="s">
        <v>73</v>
      </c>
    </row>
    <row r="2" spans="1:6" ht="12.75">
      <c r="A2">
        <v>2005</v>
      </c>
      <c r="B2">
        <v>6000000000</v>
      </c>
      <c r="C2" s="16">
        <f>Auto_Toll!E6+Auto_Toll!E26</f>
        <v>0</v>
      </c>
      <c r="D2" s="16">
        <f>B2+C2</f>
        <v>6000000000</v>
      </c>
      <c r="E2">
        <f aca="true" t="shared" si="0" ref="E2:E17">AB25</f>
        <v>5653134847.415516</v>
      </c>
      <c r="F2" s="16">
        <f>D2-E2-G2-I2-K2-M2-O2-Q2</f>
        <v>346865152.5844841</v>
      </c>
    </row>
    <row r="3" spans="1:18" ht="12.75">
      <c r="A3">
        <v>2006</v>
      </c>
      <c r="B3">
        <v>0</v>
      </c>
      <c r="C3" s="16">
        <f>Auto_Toll!E7+Auto_Toll!E27</f>
        <v>81671216.34921876</v>
      </c>
      <c r="D3" s="16">
        <f aca="true" t="shared" si="1" ref="D3:D17">B3+C3</f>
        <v>81671216.34921876</v>
      </c>
      <c r="E3">
        <f t="shared" si="0"/>
        <v>196801612.93406507</v>
      </c>
      <c r="F3" s="16">
        <f>F2+D3-E3</f>
        <v>231734755.99963775</v>
      </c>
      <c r="P3" s="155" t="s">
        <v>158</v>
      </c>
      <c r="Q3" s="155" t="s">
        <v>159</v>
      </c>
      <c r="R3" s="155"/>
    </row>
    <row r="4" spans="1:18" ht="12.75">
      <c r="A4">
        <v>2007</v>
      </c>
      <c r="B4">
        <v>0</v>
      </c>
      <c r="C4" s="16">
        <f>Auto_Toll!E8+Auto_Toll!E28</f>
        <v>83206562.44296876</v>
      </c>
      <c r="D4" s="16">
        <f t="shared" si="1"/>
        <v>83206562.44296876</v>
      </c>
      <c r="E4">
        <f t="shared" si="0"/>
        <v>199472705.51885417</v>
      </c>
      <c r="F4" s="16">
        <f aca="true" t="shared" si="2" ref="F4:F17">F3+D4-E4</f>
        <v>115468612.92375234</v>
      </c>
      <c r="O4">
        <f>V25</f>
        <v>200000000</v>
      </c>
      <c r="P4" s="155">
        <f>1*O4</f>
        <v>200000000</v>
      </c>
      <c r="Q4" s="155">
        <f>0*O4</f>
        <v>0</v>
      </c>
      <c r="R4" s="155" t="s">
        <v>9</v>
      </c>
    </row>
    <row r="5" spans="1:18" ht="12.75">
      <c r="A5">
        <v>2008</v>
      </c>
      <c r="B5">
        <v>0</v>
      </c>
      <c r="C5" s="16">
        <f>Auto_Toll!E9+Auto_Toll!E29</f>
        <v>84764938.728125</v>
      </c>
      <c r="D5" s="16">
        <f t="shared" si="1"/>
        <v>84764938.728125</v>
      </c>
      <c r="E5">
        <f t="shared" si="0"/>
        <v>103218990.34634644</v>
      </c>
      <c r="F5" s="16">
        <f t="shared" si="2"/>
        <v>97014561.3055309</v>
      </c>
      <c r="O5">
        <f>P25</f>
        <v>750000000</v>
      </c>
      <c r="P5" s="155">
        <f>0.25*O5</f>
        <v>187500000</v>
      </c>
      <c r="Q5" s="155">
        <f>0.75*O5</f>
        <v>562500000</v>
      </c>
      <c r="R5" s="155" t="s">
        <v>10</v>
      </c>
    </row>
    <row r="6" spans="1:18" ht="12.75">
      <c r="A6">
        <v>2009</v>
      </c>
      <c r="B6">
        <v>0</v>
      </c>
      <c r="C6" s="16">
        <f>Auto_Toll!E10+Auto_Toll!E30</f>
        <v>86346690.65755859</v>
      </c>
      <c r="D6" s="16">
        <f t="shared" si="1"/>
        <v>86346690.65755859</v>
      </c>
      <c r="E6">
        <f t="shared" si="0"/>
        <v>104557723.05610481</v>
      </c>
      <c r="F6" s="16">
        <f t="shared" si="2"/>
        <v>78803528.90698469</v>
      </c>
      <c r="O6">
        <f>F25</f>
        <v>2000000000</v>
      </c>
      <c r="P6" s="155">
        <f>0.7*O6</f>
        <v>1400000000</v>
      </c>
      <c r="Q6" s="155">
        <f>0.3*O6</f>
        <v>600000000</v>
      </c>
      <c r="R6" s="155" t="s">
        <v>160</v>
      </c>
    </row>
    <row r="7" spans="1:18" ht="12.75">
      <c r="A7">
        <v>2010</v>
      </c>
      <c r="B7">
        <v>0</v>
      </c>
      <c r="C7" s="16">
        <f>Auto_Toll!E11+Auto_Toll!E31</f>
        <v>87952168.86593366</v>
      </c>
      <c r="D7" s="16">
        <f t="shared" si="1"/>
        <v>87952168.86593366</v>
      </c>
      <c r="E7">
        <f t="shared" si="0"/>
        <v>55434679.09780063</v>
      </c>
      <c r="F7" s="16">
        <f t="shared" si="2"/>
        <v>111321018.67511772</v>
      </c>
      <c r="O7">
        <f>R25</f>
        <v>200000000</v>
      </c>
      <c r="P7" s="155">
        <f>1*O7</f>
        <v>200000000</v>
      </c>
      <c r="Q7" s="155">
        <f>0*O7</f>
        <v>0</v>
      </c>
      <c r="R7" s="155" t="s">
        <v>152</v>
      </c>
    </row>
    <row r="8" spans="1:18" ht="12.75">
      <c r="A8">
        <v>2011</v>
      </c>
      <c r="B8">
        <v>-100000000</v>
      </c>
      <c r="C8" s="16">
        <f>Auto_Toll!E12+Auto_Toll!E32</f>
        <v>89628339.95724615</v>
      </c>
      <c r="D8" s="16">
        <f t="shared" si="1"/>
        <v>-10371660.042753845</v>
      </c>
      <c r="E8">
        <f t="shared" si="0"/>
        <v>56398523.65281582</v>
      </c>
      <c r="F8" s="16">
        <f t="shared" si="2"/>
        <v>44550834.97954805</v>
      </c>
      <c r="O8">
        <f>H25</f>
        <v>175000000</v>
      </c>
      <c r="P8" s="155">
        <f>0.8*O8</f>
        <v>140000000</v>
      </c>
      <c r="Q8" s="155">
        <f>0.2*O8</f>
        <v>35000000</v>
      </c>
      <c r="R8" s="155" t="s">
        <v>161</v>
      </c>
    </row>
    <row r="9" spans="1:18" ht="12.75">
      <c r="A9">
        <v>2012</v>
      </c>
      <c r="B9">
        <v>-100000000</v>
      </c>
      <c r="C9" s="16">
        <f>Auto_Toll!E13+Auto_Toll!E33</f>
        <v>91336161.65511656</v>
      </c>
      <c r="D9" s="16">
        <f t="shared" si="1"/>
        <v>-8663838.344883442</v>
      </c>
      <c r="E9">
        <f t="shared" si="0"/>
        <v>57086724.402107716</v>
      </c>
      <c r="F9" s="16">
        <f t="shared" si="2"/>
        <v>-21199727.767443106</v>
      </c>
      <c r="O9">
        <f>J25</f>
        <v>500000000</v>
      </c>
      <c r="P9" s="155">
        <f>0.5*O9</f>
        <v>250000000</v>
      </c>
      <c r="Q9" s="155">
        <f>0.5*O9</f>
        <v>250000000</v>
      </c>
      <c r="R9" s="155" t="s">
        <v>162</v>
      </c>
    </row>
    <row r="10" spans="1:18" ht="12.75">
      <c r="A10">
        <v>2013</v>
      </c>
      <c r="B10">
        <v>-100000000</v>
      </c>
      <c r="C10" s="16">
        <f>Auto_Toll!E14+Auto_Toll!E34</f>
        <v>93069600.67845501</v>
      </c>
      <c r="D10" s="16">
        <f t="shared" si="1"/>
        <v>-6930399.32154499</v>
      </c>
      <c r="E10">
        <f t="shared" si="0"/>
        <v>57778409.505524226</v>
      </c>
      <c r="F10" s="16">
        <f t="shared" si="2"/>
        <v>-85908536.59451231</v>
      </c>
      <c r="O10">
        <f>N25</f>
        <v>100000000</v>
      </c>
      <c r="P10" s="155">
        <f>0*O10</f>
        <v>0</v>
      </c>
      <c r="Q10" s="155">
        <f>1*O10</f>
        <v>100000000</v>
      </c>
      <c r="R10" s="155" t="s">
        <v>163</v>
      </c>
    </row>
    <row r="11" spans="1:18" ht="12.75">
      <c r="A11">
        <v>2014</v>
      </c>
      <c r="B11">
        <v>-100000000</v>
      </c>
      <c r="C11" s="16">
        <f>Auto_Toll!E15+Auto_Toll!E35</f>
        <v>94829041.28714356</v>
      </c>
      <c r="D11" s="16">
        <f t="shared" si="1"/>
        <v>-5170958.712856442</v>
      </c>
      <c r="E11">
        <f t="shared" si="0"/>
        <v>5200000</v>
      </c>
      <c r="F11" s="16">
        <f t="shared" si="2"/>
        <v>-96279495.30736876</v>
      </c>
      <c r="O11">
        <f>SUM(T25:T40)</f>
        <v>115000000</v>
      </c>
      <c r="P11" s="155">
        <f>1*O11</f>
        <v>115000000</v>
      </c>
      <c r="Q11" s="155">
        <f>0*O11</f>
        <v>0</v>
      </c>
      <c r="R11" s="155" t="s">
        <v>154</v>
      </c>
    </row>
    <row r="12" spans="1:18" ht="12.75">
      <c r="A12">
        <v>2015</v>
      </c>
      <c r="B12">
        <v>-100000000</v>
      </c>
      <c r="C12" s="16">
        <f>Auto_Toll!E16+Auto_Toll!E36</f>
        <v>96614873.50496241</v>
      </c>
      <c r="D12" s="16">
        <f t="shared" si="1"/>
        <v>-3385126.4950375855</v>
      </c>
      <c r="E12">
        <f t="shared" si="0"/>
        <v>5200000</v>
      </c>
      <c r="F12" s="16">
        <f t="shared" si="2"/>
        <v>-104864621.80240634</v>
      </c>
      <c r="O12">
        <f>L25</f>
        <v>1500000000</v>
      </c>
      <c r="P12" s="155">
        <f>0.1*O12</f>
        <v>150000000</v>
      </c>
      <c r="Q12" s="155">
        <f>0.9*O12</f>
        <v>1350000000</v>
      </c>
      <c r="R12" s="155" t="s">
        <v>149</v>
      </c>
    </row>
    <row r="13" spans="1:17" ht="12.75">
      <c r="A13">
        <v>2016</v>
      </c>
      <c r="B13" s="16">
        <f>-100000000</f>
        <v>-100000000</v>
      </c>
      <c r="C13" s="16">
        <f>Auto_Toll!E17+Auto_Toll!E37</f>
        <v>98427493.20604855</v>
      </c>
      <c r="D13" s="16">
        <f t="shared" si="1"/>
        <v>-1572506.7939514518</v>
      </c>
      <c r="E13">
        <f t="shared" si="0"/>
        <v>5200000</v>
      </c>
      <c r="F13" s="16">
        <f t="shared" si="2"/>
        <v>-111637128.5963578</v>
      </c>
      <c r="O13">
        <f>SUM(O4:O12)</f>
        <v>5540000000</v>
      </c>
      <c r="P13">
        <f>SUM(P4:P12)</f>
        <v>2642500000</v>
      </c>
      <c r="Q13">
        <f>SUM(Q4:Q12)</f>
        <v>2897500000</v>
      </c>
    </row>
    <row r="14" spans="1:17" ht="12.75">
      <c r="A14">
        <v>2017</v>
      </c>
      <c r="B14" s="16">
        <f>-100000000+Total_Emissions!I25</f>
        <v>100000000</v>
      </c>
      <c r="C14" s="16">
        <f>Auto_Toll!E18+Auto_Toll!E38</f>
        <v>100267302.202651</v>
      </c>
      <c r="D14" s="16">
        <f t="shared" si="1"/>
        <v>200267302.202651</v>
      </c>
      <c r="E14">
        <f t="shared" si="0"/>
        <v>25200000</v>
      </c>
      <c r="F14" s="16">
        <f t="shared" si="2"/>
        <v>63430173.6062932</v>
      </c>
      <c r="P14" s="50">
        <f>P13/O13</f>
        <v>0.476985559566787</v>
      </c>
      <c r="Q14" s="50">
        <f>Q13/O13</f>
        <v>0.523014440433213</v>
      </c>
    </row>
    <row r="15" spans="1:6" ht="12.75">
      <c r="A15">
        <v>2018</v>
      </c>
      <c r="B15">
        <v>-100000000</v>
      </c>
      <c r="C15" s="16">
        <f>Auto_Toll!E19+Auto_Toll!E39</f>
        <v>102134708.33420247</v>
      </c>
      <c r="D15" s="16">
        <f t="shared" si="1"/>
        <v>2134708.3342024684</v>
      </c>
      <c r="E15">
        <f t="shared" si="0"/>
        <v>25200000</v>
      </c>
      <c r="F15" s="16">
        <f t="shared" si="2"/>
        <v>40364881.94049567</v>
      </c>
    </row>
    <row r="16" spans="1:6" ht="12.75">
      <c r="A16">
        <v>2019</v>
      </c>
      <c r="B16">
        <v>-100000000</v>
      </c>
      <c r="C16" s="16">
        <f>Auto_Toll!E20+Auto_Toll!E40</f>
        <v>104030125.55772722</v>
      </c>
      <c r="D16" s="16">
        <f t="shared" si="1"/>
        <v>4030125.5577272177</v>
      </c>
      <c r="E16">
        <f t="shared" si="0"/>
        <v>25200000</v>
      </c>
      <c r="F16" s="16">
        <f t="shared" si="2"/>
        <v>19195007.498222888</v>
      </c>
    </row>
    <row r="17" spans="1:6" ht="12.75">
      <c r="A17">
        <v>2020</v>
      </c>
      <c r="B17">
        <v>-100000000</v>
      </c>
      <c r="C17" s="16">
        <f>Auto_Toll!E21+Auto_Toll!E41</f>
        <v>106141298.00831446</v>
      </c>
      <c r="D17" s="16">
        <f t="shared" si="1"/>
        <v>6141298.0083144605</v>
      </c>
      <c r="E17">
        <f t="shared" si="0"/>
        <v>25200000</v>
      </c>
      <c r="F17" s="16">
        <f t="shared" si="2"/>
        <v>136305.50653734803</v>
      </c>
    </row>
    <row r="23" ht="13.5" thickBot="1"/>
    <row r="24" spans="2:28" ht="13.5" thickBot="1">
      <c r="B24" s="152" t="s">
        <v>70</v>
      </c>
      <c r="C24" s="153" t="s">
        <v>71</v>
      </c>
      <c r="D24" s="152" t="s">
        <v>70</v>
      </c>
      <c r="E24" s="153" t="s">
        <v>71</v>
      </c>
      <c r="F24" s="152" t="s">
        <v>70</v>
      </c>
      <c r="G24" s="153" t="s">
        <v>71</v>
      </c>
      <c r="H24" s="152" t="s">
        <v>70</v>
      </c>
      <c r="I24" s="153" t="s">
        <v>71</v>
      </c>
      <c r="J24" s="152" t="s">
        <v>70</v>
      </c>
      <c r="K24" s="153" t="s">
        <v>71</v>
      </c>
      <c r="L24" s="152" t="s">
        <v>70</v>
      </c>
      <c r="M24" s="153" t="s">
        <v>71</v>
      </c>
      <c r="N24" s="152" t="s">
        <v>70</v>
      </c>
      <c r="O24" s="153" t="s">
        <v>71</v>
      </c>
      <c r="P24" s="50" t="s">
        <v>70</v>
      </c>
      <c r="Q24" s="50" t="s">
        <v>71</v>
      </c>
      <c r="R24" s="50" t="s">
        <v>70</v>
      </c>
      <c r="S24" s="50" t="s">
        <v>71</v>
      </c>
      <c r="T24" s="50" t="s">
        <v>70</v>
      </c>
      <c r="U24" s="50" t="s">
        <v>71</v>
      </c>
      <c r="V24" s="50" t="s">
        <v>70</v>
      </c>
      <c r="W24" s="50" t="s">
        <v>71</v>
      </c>
      <c r="X24" s="50" t="s">
        <v>70</v>
      </c>
      <c r="Y24" s="50" t="s">
        <v>71</v>
      </c>
      <c r="Z24" s="50" t="s">
        <v>70</v>
      </c>
      <c r="AA24" s="50" t="s">
        <v>71</v>
      </c>
      <c r="AB24" t="s">
        <v>76</v>
      </c>
    </row>
    <row r="25" spans="1:28" ht="12.75">
      <c r="A25">
        <v>2005</v>
      </c>
      <c r="B25" s="24">
        <f>Total_Emissions!V3</f>
        <v>0</v>
      </c>
      <c r="C25" s="6" t="s">
        <v>91</v>
      </c>
      <c r="D25" s="22">
        <f>Total_Congestion!L2</f>
        <v>187934847.41551554</v>
      </c>
      <c r="E25" s="3" t="s">
        <v>92</v>
      </c>
      <c r="F25" s="4">
        <v>2000000000</v>
      </c>
      <c r="G25" s="6" t="s">
        <v>146</v>
      </c>
      <c r="H25" s="4">
        <v>175000000</v>
      </c>
      <c r="I25" s="6" t="s">
        <v>147</v>
      </c>
      <c r="J25" s="4">
        <v>500000000</v>
      </c>
      <c r="K25" s="6" t="s">
        <v>148</v>
      </c>
      <c r="L25" s="4">
        <v>1500000000</v>
      </c>
      <c r="M25" s="6" t="s">
        <v>149</v>
      </c>
      <c r="N25" s="4">
        <v>100000000</v>
      </c>
      <c r="O25" s="6" t="s">
        <v>151</v>
      </c>
      <c r="P25">
        <v>750000000</v>
      </c>
      <c r="Q25" t="s">
        <v>156</v>
      </c>
      <c r="R25">
        <v>200000000</v>
      </c>
      <c r="S25" t="s">
        <v>152</v>
      </c>
      <c r="T25">
        <v>40000000</v>
      </c>
      <c r="U25" t="s">
        <v>154</v>
      </c>
      <c r="V25">
        <v>200000000</v>
      </c>
      <c r="W25" t="s">
        <v>155</v>
      </c>
      <c r="X25">
        <v>200000</v>
      </c>
      <c r="Y25" t="s">
        <v>164</v>
      </c>
      <c r="AB25" s="16">
        <f>B25+D25+F25+H25+J25+L25+N25+P25+R25+T25+V25+X25+Z25</f>
        <v>5653134847.415516</v>
      </c>
    </row>
    <row r="26" spans="1:28" ht="12.75">
      <c r="A26">
        <v>2006</v>
      </c>
      <c r="B26" s="24">
        <f>Total_Emissions!V4</f>
        <v>0</v>
      </c>
      <c r="C26" s="6" t="s">
        <v>91</v>
      </c>
      <c r="D26" s="24">
        <f>Total_Congestion!L3</f>
        <v>191601612.93406507</v>
      </c>
      <c r="E26" s="6" t="s">
        <v>92</v>
      </c>
      <c r="F26" s="4"/>
      <c r="G26" s="6"/>
      <c r="H26" s="4"/>
      <c r="I26" s="6"/>
      <c r="J26" s="4"/>
      <c r="K26" s="6"/>
      <c r="L26" s="4"/>
      <c r="M26" s="6"/>
      <c r="N26" s="4"/>
      <c r="O26" s="6"/>
      <c r="T26">
        <v>5000000</v>
      </c>
      <c r="U26" t="s">
        <v>154</v>
      </c>
      <c r="X26">
        <v>200000</v>
      </c>
      <c r="AB26" s="16">
        <f aca="true" t="shared" si="3" ref="AB26:AB40">B26+D26+F26+H26+J26+L26+N26+P26+R26+T26+V26+X26+Z26</f>
        <v>196801612.93406507</v>
      </c>
    </row>
    <row r="27" spans="1:28" ht="12.75">
      <c r="A27">
        <v>2007</v>
      </c>
      <c r="B27" s="24">
        <f>Total_Emissions!V5</f>
        <v>0</v>
      </c>
      <c r="C27" s="6" t="s">
        <v>91</v>
      </c>
      <c r="D27" s="24">
        <f>Total_Congestion!L4</f>
        <v>194272705.51885417</v>
      </c>
      <c r="E27" s="6" t="s">
        <v>92</v>
      </c>
      <c r="F27" s="4"/>
      <c r="G27" s="6"/>
      <c r="H27" s="4"/>
      <c r="I27" s="6"/>
      <c r="J27" s="4"/>
      <c r="K27" s="6"/>
      <c r="L27" s="4"/>
      <c r="M27" s="6"/>
      <c r="N27" s="4"/>
      <c r="O27" s="6"/>
      <c r="T27">
        <v>5000000</v>
      </c>
      <c r="U27" t="s">
        <v>154</v>
      </c>
      <c r="X27">
        <v>200000</v>
      </c>
      <c r="AB27" s="16">
        <f t="shared" si="3"/>
        <v>199472705.51885417</v>
      </c>
    </row>
    <row r="28" spans="1:28" ht="12.75">
      <c r="A28">
        <v>2008</v>
      </c>
      <c r="B28" s="24">
        <f>Total_Emissions!V6</f>
        <v>0</v>
      </c>
      <c r="C28" s="6" t="s">
        <v>91</v>
      </c>
      <c r="D28" s="24">
        <f>Total_Congestion!L5</f>
        <v>98018990.34634644</v>
      </c>
      <c r="E28" s="6" t="s">
        <v>92</v>
      </c>
      <c r="F28" s="4"/>
      <c r="G28" s="6"/>
      <c r="H28" s="4"/>
      <c r="I28" s="6"/>
      <c r="J28" s="4"/>
      <c r="K28" s="6"/>
      <c r="L28" s="4"/>
      <c r="M28" s="6"/>
      <c r="N28" s="4"/>
      <c r="O28" s="6"/>
      <c r="T28">
        <v>5000000</v>
      </c>
      <c r="U28" t="s">
        <v>154</v>
      </c>
      <c r="X28">
        <v>200000</v>
      </c>
      <c r="AB28" s="16">
        <f t="shared" si="3"/>
        <v>103218990.34634644</v>
      </c>
    </row>
    <row r="29" spans="1:28" ht="12.75">
      <c r="A29">
        <v>2009</v>
      </c>
      <c r="B29" s="24">
        <f>Total_Emissions!V7</f>
        <v>0</v>
      </c>
      <c r="C29" s="6" t="s">
        <v>91</v>
      </c>
      <c r="D29" s="24">
        <f>Total_Congestion!L6</f>
        <v>99357723.05610481</v>
      </c>
      <c r="E29" s="6" t="s">
        <v>92</v>
      </c>
      <c r="F29" s="4"/>
      <c r="G29" s="6"/>
      <c r="H29" s="4"/>
      <c r="I29" s="6"/>
      <c r="J29" s="4"/>
      <c r="K29" s="6"/>
      <c r="L29" s="4"/>
      <c r="M29" s="6"/>
      <c r="N29" s="4"/>
      <c r="O29" s="6"/>
      <c r="T29">
        <v>5000000</v>
      </c>
      <c r="U29" t="s">
        <v>154</v>
      </c>
      <c r="X29">
        <v>200000</v>
      </c>
      <c r="AB29" s="16">
        <f t="shared" si="3"/>
        <v>104557723.05610481</v>
      </c>
    </row>
    <row r="30" spans="1:28" ht="12.75">
      <c r="A30">
        <v>2010</v>
      </c>
      <c r="B30" s="24">
        <f>Total_Emissions!V8</f>
        <v>0</v>
      </c>
      <c r="C30" s="6" t="s">
        <v>91</v>
      </c>
      <c r="D30" s="24">
        <f>Total_Congestion!L7</f>
        <v>50234679.09780063</v>
      </c>
      <c r="E30" s="6" t="s">
        <v>92</v>
      </c>
      <c r="F30" s="4"/>
      <c r="G30" s="6"/>
      <c r="H30" s="4"/>
      <c r="I30" s="6"/>
      <c r="J30" s="4"/>
      <c r="K30" s="6"/>
      <c r="L30" s="4"/>
      <c r="M30" s="6"/>
      <c r="N30" s="4"/>
      <c r="O30" s="6"/>
      <c r="T30">
        <v>5000000</v>
      </c>
      <c r="U30" t="s">
        <v>154</v>
      </c>
      <c r="X30">
        <v>200000</v>
      </c>
      <c r="AB30" s="16">
        <f t="shared" si="3"/>
        <v>55434679.09780063</v>
      </c>
    </row>
    <row r="31" spans="1:28" ht="12.75">
      <c r="A31">
        <v>2011</v>
      </c>
      <c r="B31" s="24">
        <f>Total_Emissions!V9</f>
        <v>0</v>
      </c>
      <c r="C31" s="6" t="s">
        <v>91</v>
      </c>
      <c r="D31" s="24">
        <f>Total_Congestion!L8</f>
        <v>51198523.65281582</v>
      </c>
      <c r="E31" s="6" t="s">
        <v>92</v>
      </c>
      <c r="F31" s="4"/>
      <c r="G31" s="6"/>
      <c r="H31" s="4"/>
      <c r="I31" s="6"/>
      <c r="J31" s="4"/>
      <c r="K31" s="6"/>
      <c r="L31" s="4"/>
      <c r="M31" s="6"/>
      <c r="N31" s="4"/>
      <c r="O31" s="6"/>
      <c r="T31">
        <v>5000000</v>
      </c>
      <c r="U31" t="s">
        <v>154</v>
      </c>
      <c r="X31">
        <v>200000</v>
      </c>
      <c r="AB31" s="16">
        <f t="shared" si="3"/>
        <v>56398523.65281582</v>
      </c>
    </row>
    <row r="32" spans="1:28" ht="12.75">
      <c r="A32">
        <v>2012</v>
      </c>
      <c r="B32" s="24">
        <f>Total_Emissions!V10</f>
        <v>0</v>
      </c>
      <c r="C32" s="6" t="s">
        <v>91</v>
      </c>
      <c r="D32" s="24">
        <f>Total_Congestion!L9</f>
        <v>51886724.402107716</v>
      </c>
      <c r="E32" s="6" t="s">
        <v>92</v>
      </c>
      <c r="F32" s="4"/>
      <c r="G32" s="6"/>
      <c r="H32" s="4"/>
      <c r="I32" s="6"/>
      <c r="J32" s="4"/>
      <c r="K32" s="6"/>
      <c r="L32" s="4"/>
      <c r="M32" s="6"/>
      <c r="N32" s="4"/>
      <c r="O32" s="6"/>
      <c r="T32">
        <v>5000000</v>
      </c>
      <c r="U32" t="s">
        <v>154</v>
      </c>
      <c r="X32">
        <v>200000</v>
      </c>
      <c r="AB32" s="16">
        <f t="shared" si="3"/>
        <v>57086724.402107716</v>
      </c>
    </row>
    <row r="33" spans="1:28" ht="12.75">
      <c r="A33">
        <v>2013</v>
      </c>
      <c r="B33" s="24">
        <f>Total_Emissions!V11</f>
        <v>0</v>
      </c>
      <c r="C33" s="6" t="s">
        <v>91</v>
      </c>
      <c r="D33" s="24">
        <f>Total_Congestion!L10</f>
        <v>52578409.505524226</v>
      </c>
      <c r="E33" s="6" t="s">
        <v>92</v>
      </c>
      <c r="F33" s="4"/>
      <c r="G33" s="6"/>
      <c r="H33" s="4"/>
      <c r="I33" s="6"/>
      <c r="J33" s="4"/>
      <c r="K33" s="6"/>
      <c r="L33" s="4"/>
      <c r="M33" s="6"/>
      <c r="N33" s="4"/>
      <c r="O33" s="6"/>
      <c r="T33">
        <v>5000000</v>
      </c>
      <c r="U33" t="s">
        <v>154</v>
      </c>
      <c r="X33">
        <v>200000</v>
      </c>
      <c r="AB33" s="16">
        <f t="shared" si="3"/>
        <v>57778409.505524226</v>
      </c>
    </row>
    <row r="34" spans="1:28" ht="12.75">
      <c r="A34">
        <v>2014</v>
      </c>
      <c r="B34" s="24">
        <f>Total_Emissions!V12</f>
        <v>0</v>
      </c>
      <c r="C34" s="6" t="s">
        <v>91</v>
      </c>
      <c r="D34" s="24">
        <f>Total_Congestion!L11</f>
        <v>0</v>
      </c>
      <c r="E34" s="6" t="s">
        <v>92</v>
      </c>
      <c r="F34" s="4"/>
      <c r="G34" s="6"/>
      <c r="H34" s="4"/>
      <c r="I34" s="6"/>
      <c r="J34" s="4"/>
      <c r="K34" s="6"/>
      <c r="L34" s="4"/>
      <c r="M34" s="6"/>
      <c r="N34" s="4"/>
      <c r="O34" s="6"/>
      <c r="T34">
        <v>5000000</v>
      </c>
      <c r="U34" t="s">
        <v>154</v>
      </c>
      <c r="X34">
        <v>200000</v>
      </c>
      <c r="AB34" s="16">
        <f t="shared" si="3"/>
        <v>5200000</v>
      </c>
    </row>
    <row r="35" spans="1:28" ht="12.75">
      <c r="A35">
        <v>2015</v>
      </c>
      <c r="B35" s="24">
        <f>Total_Emissions!V13</f>
        <v>0</v>
      </c>
      <c r="C35" s="6" t="s">
        <v>91</v>
      </c>
      <c r="D35" s="24">
        <f>Total_Congestion!L12</f>
        <v>0</v>
      </c>
      <c r="E35" s="6" t="s">
        <v>92</v>
      </c>
      <c r="F35" s="4"/>
      <c r="G35" s="6"/>
      <c r="H35" s="4"/>
      <c r="I35" s="6"/>
      <c r="J35" s="4"/>
      <c r="K35" s="6"/>
      <c r="L35" s="4"/>
      <c r="M35" s="6"/>
      <c r="N35" s="4"/>
      <c r="O35" s="6"/>
      <c r="T35">
        <v>5000000</v>
      </c>
      <c r="U35" t="s">
        <v>154</v>
      </c>
      <c r="X35">
        <v>200000</v>
      </c>
      <c r="AB35" s="16">
        <f t="shared" si="3"/>
        <v>5200000</v>
      </c>
    </row>
    <row r="36" spans="1:28" ht="12.75">
      <c r="A36">
        <v>2016</v>
      </c>
      <c r="B36" s="24">
        <f>Total_Emissions!V14</f>
        <v>0</v>
      </c>
      <c r="C36" s="6" t="s">
        <v>91</v>
      </c>
      <c r="D36" s="24">
        <f>Total_Congestion!L13</f>
        <v>0</v>
      </c>
      <c r="E36" s="6" t="s">
        <v>92</v>
      </c>
      <c r="F36" s="4"/>
      <c r="G36" s="6"/>
      <c r="H36" s="4"/>
      <c r="I36" s="6"/>
      <c r="J36" s="4"/>
      <c r="K36" s="6"/>
      <c r="L36" s="4"/>
      <c r="M36" s="6"/>
      <c r="N36" s="4"/>
      <c r="O36" s="6"/>
      <c r="T36">
        <v>5000000</v>
      </c>
      <c r="U36" t="s">
        <v>154</v>
      </c>
      <c r="X36">
        <v>200000</v>
      </c>
      <c r="AB36" s="16">
        <f t="shared" si="3"/>
        <v>5200000</v>
      </c>
    </row>
    <row r="37" spans="1:28" ht="12.75">
      <c r="A37">
        <v>2017</v>
      </c>
      <c r="B37" s="24">
        <f>Total_Emissions!V15</f>
        <v>20000000</v>
      </c>
      <c r="C37" s="6" t="s">
        <v>91</v>
      </c>
      <c r="D37" s="24">
        <f>Total_Congestion!L14</f>
        <v>0</v>
      </c>
      <c r="E37" s="6" t="s">
        <v>92</v>
      </c>
      <c r="F37" s="4"/>
      <c r="G37" s="6"/>
      <c r="H37" s="4"/>
      <c r="I37" s="6"/>
      <c r="J37" s="4"/>
      <c r="K37" s="6"/>
      <c r="L37" s="4"/>
      <c r="M37" s="6"/>
      <c r="N37" s="4"/>
      <c r="O37" s="6"/>
      <c r="T37">
        <v>5000000</v>
      </c>
      <c r="U37" t="s">
        <v>154</v>
      </c>
      <c r="X37">
        <v>200000</v>
      </c>
      <c r="AB37" s="16">
        <f t="shared" si="3"/>
        <v>25200000</v>
      </c>
    </row>
    <row r="38" spans="1:28" ht="12.75">
      <c r="A38">
        <v>2018</v>
      </c>
      <c r="B38" s="24">
        <f>Total_Emissions!V16</f>
        <v>20000000</v>
      </c>
      <c r="C38" s="6" t="s">
        <v>91</v>
      </c>
      <c r="D38" s="24">
        <f>Total_Congestion!L15</f>
        <v>0</v>
      </c>
      <c r="E38" s="6" t="s">
        <v>92</v>
      </c>
      <c r="F38" s="4"/>
      <c r="G38" s="6"/>
      <c r="H38" s="4"/>
      <c r="I38" s="6"/>
      <c r="J38" s="4"/>
      <c r="K38" s="6"/>
      <c r="L38" s="4"/>
      <c r="M38" s="6"/>
      <c r="N38" s="4"/>
      <c r="O38" s="6"/>
      <c r="T38">
        <v>5000000</v>
      </c>
      <c r="U38" t="s">
        <v>154</v>
      </c>
      <c r="X38">
        <v>200000</v>
      </c>
      <c r="AB38" s="16">
        <f t="shared" si="3"/>
        <v>25200000</v>
      </c>
    </row>
    <row r="39" spans="1:28" ht="12.75">
      <c r="A39">
        <v>2019</v>
      </c>
      <c r="B39" s="24">
        <f>Total_Emissions!V17</f>
        <v>20000000</v>
      </c>
      <c r="C39" s="6" t="s">
        <v>91</v>
      </c>
      <c r="D39" s="24">
        <f>Total_Congestion!L16</f>
        <v>0</v>
      </c>
      <c r="E39" s="6" t="s">
        <v>92</v>
      </c>
      <c r="F39" s="4"/>
      <c r="G39" s="6"/>
      <c r="H39" s="4"/>
      <c r="I39" s="6"/>
      <c r="J39" s="4"/>
      <c r="K39" s="6"/>
      <c r="L39" s="4"/>
      <c r="M39" s="6"/>
      <c r="N39" s="4"/>
      <c r="O39" s="6"/>
      <c r="T39">
        <v>5000000</v>
      </c>
      <c r="U39" t="s">
        <v>154</v>
      </c>
      <c r="X39">
        <v>200000</v>
      </c>
      <c r="AB39" s="16">
        <f t="shared" si="3"/>
        <v>25200000</v>
      </c>
    </row>
    <row r="40" spans="1:28" ht="13.5" thickBot="1">
      <c r="A40">
        <v>2020</v>
      </c>
      <c r="B40" s="25">
        <f>Total_Emissions!V18</f>
        <v>20000000</v>
      </c>
      <c r="C40" s="151" t="s">
        <v>91</v>
      </c>
      <c r="D40" s="25">
        <f>Total_Congestion!L17</f>
        <v>0</v>
      </c>
      <c r="E40" s="151" t="s">
        <v>92</v>
      </c>
      <c r="F40" s="12"/>
      <c r="G40" s="151"/>
      <c r="H40" s="12"/>
      <c r="I40" s="151"/>
      <c r="J40" s="12"/>
      <c r="K40" s="151"/>
      <c r="L40" s="12"/>
      <c r="M40" s="151"/>
      <c r="N40" s="12"/>
      <c r="O40" s="151"/>
      <c r="T40">
        <v>5000000</v>
      </c>
      <c r="U40" t="s">
        <v>154</v>
      </c>
      <c r="X40">
        <v>200000</v>
      </c>
      <c r="AB40" s="16">
        <f t="shared" si="3"/>
        <v>25200000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9.140625" defaultRowHeight="12.75"/>
  <cols>
    <col min="1" max="2" width="13.28125" style="0" customWidth="1"/>
    <col min="3" max="3" width="26.00390625" style="0" customWidth="1"/>
    <col min="4" max="4" width="21.8515625" style="0" customWidth="1"/>
    <col min="5" max="5" width="21.00390625" style="0" customWidth="1"/>
  </cols>
  <sheetData>
    <row r="1" spans="1:2" ht="12.75">
      <c r="A1" t="s">
        <v>15</v>
      </c>
      <c r="B1" s="7">
        <v>17500000</v>
      </c>
    </row>
    <row r="2" spans="1:2" ht="12.75">
      <c r="A2" t="s">
        <v>16</v>
      </c>
      <c r="B2" s="9">
        <v>0.015</v>
      </c>
    </row>
    <row r="4" ht="12.75">
      <c r="A4" t="s">
        <v>27</v>
      </c>
    </row>
    <row r="5" spans="1:5" ht="12.75">
      <c r="A5" t="s">
        <v>26</v>
      </c>
      <c r="B5" t="s">
        <v>14</v>
      </c>
      <c r="C5" t="s">
        <v>30</v>
      </c>
      <c r="D5" t="s">
        <v>34</v>
      </c>
      <c r="E5" t="s">
        <v>29</v>
      </c>
    </row>
    <row r="6" spans="1:5" ht="12.75">
      <c r="A6">
        <v>2005</v>
      </c>
      <c r="B6" s="7">
        <f>$B$1</f>
        <v>17500000</v>
      </c>
      <c r="C6" s="16">
        <f>(100000*D6-10000000*D6^2+1.5*B6)*25</f>
        <v>656250000</v>
      </c>
      <c r="D6" s="17"/>
      <c r="E6" s="16">
        <f>D6*C6/10</f>
        <v>0</v>
      </c>
    </row>
    <row r="7" spans="1:5" ht="12.75">
      <c r="A7">
        <v>2006</v>
      </c>
      <c r="B7" s="7">
        <f>B6*(1+$B$2)</f>
        <v>17762500</v>
      </c>
      <c r="C7" s="16">
        <f aca="true" t="shared" si="0" ref="C7:C21">(100000*D7-10000000*D7^2+1.5*B7)*25</f>
        <v>442843750</v>
      </c>
      <c r="D7" s="17">
        <v>0.95</v>
      </c>
      <c r="E7" s="16">
        <f aca="true" t="shared" si="1" ref="E7:E21">D7*C7/10</f>
        <v>42070156.25</v>
      </c>
    </row>
    <row r="8" spans="1:5" ht="12.75">
      <c r="A8">
        <v>2007</v>
      </c>
      <c r="B8" s="7">
        <f aca="true" t="shared" si="2" ref="B8:B21">B7*(1+$B$2)</f>
        <v>18028937.5</v>
      </c>
      <c r="C8" s="16">
        <f t="shared" si="0"/>
        <v>452835156.25</v>
      </c>
      <c r="D8" s="17">
        <v>0.95</v>
      </c>
      <c r="E8" s="16">
        <f t="shared" si="1"/>
        <v>43019339.84375</v>
      </c>
    </row>
    <row r="9" spans="1:5" ht="12.75">
      <c r="A9">
        <v>2008</v>
      </c>
      <c r="B9" s="7">
        <f t="shared" si="2"/>
        <v>18299371.5625</v>
      </c>
      <c r="C9" s="16">
        <f t="shared" si="0"/>
        <v>462976433.59375</v>
      </c>
      <c r="D9" s="17">
        <v>0.95</v>
      </c>
      <c r="E9" s="16">
        <f t="shared" si="1"/>
        <v>43982761.19140625</v>
      </c>
    </row>
    <row r="10" spans="1:5" ht="12.75">
      <c r="A10">
        <v>2009</v>
      </c>
      <c r="B10" s="7">
        <f t="shared" si="2"/>
        <v>18573862.135937497</v>
      </c>
      <c r="C10" s="16">
        <f t="shared" si="0"/>
        <v>473269830.09765613</v>
      </c>
      <c r="D10" s="17">
        <v>0.95</v>
      </c>
      <c r="E10" s="16">
        <f t="shared" si="1"/>
        <v>44960633.85927733</v>
      </c>
    </row>
    <row r="11" spans="1:5" ht="12.75">
      <c r="A11">
        <v>2010</v>
      </c>
      <c r="B11" s="7">
        <f t="shared" si="2"/>
        <v>18852470.067976557</v>
      </c>
      <c r="C11" s="16">
        <f t="shared" si="0"/>
        <v>483717627.5491209</v>
      </c>
      <c r="D11" s="17">
        <v>0.95</v>
      </c>
      <c r="E11" s="16">
        <f t="shared" si="1"/>
        <v>45953174.61716648</v>
      </c>
    </row>
    <row r="12" spans="1:5" ht="12.75">
      <c r="A12">
        <v>2011</v>
      </c>
      <c r="B12" s="7">
        <f t="shared" si="2"/>
        <v>19135257.118996203</v>
      </c>
      <c r="C12" s="16">
        <f t="shared" si="0"/>
        <v>470072141.96235764</v>
      </c>
      <c r="D12" s="17">
        <v>1</v>
      </c>
      <c r="E12" s="16">
        <f t="shared" si="1"/>
        <v>47007214.19623576</v>
      </c>
    </row>
    <row r="13" spans="1:5" ht="12.75">
      <c r="A13">
        <v>2012</v>
      </c>
      <c r="B13" s="7">
        <f t="shared" si="2"/>
        <v>19422285.975781143</v>
      </c>
      <c r="C13" s="16">
        <f t="shared" si="0"/>
        <v>480835724.0917928</v>
      </c>
      <c r="D13" s="17">
        <v>1</v>
      </c>
      <c r="E13" s="16">
        <f t="shared" si="1"/>
        <v>48083572.409179285</v>
      </c>
    </row>
    <row r="14" spans="1:5" ht="12.75">
      <c r="A14">
        <v>2013</v>
      </c>
      <c r="B14" s="7">
        <f t="shared" si="2"/>
        <v>19713620.26541786</v>
      </c>
      <c r="C14" s="16">
        <f t="shared" si="0"/>
        <v>491760759.9531697</v>
      </c>
      <c r="D14" s="17">
        <v>1</v>
      </c>
      <c r="E14" s="16">
        <f t="shared" si="1"/>
        <v>49176075.99531697</v>
      </c>
    </row>
    <row r="15" spans="1:5" ht="12.75">
      <c r="A15">
        <v>2014</v>
      </c>
      <c r="B15" s="7">
        <f t="shared" si="2"/>
        <v>20009324.569399126</v>
      </c>
      <c r="C15" s="16">
        <f t="shared" si="0"/>
        <v>502849671.35246724</v>
      </c>
      <c r="D15" s="17">
        <v>1</v>
      </c>
      <c r="E15" s="16">
        <f t="shared" si="1"/>
        <v>50284967.135246724</v>
      </c>
    </row>
    <row r="16" spans="1:5" ht="12.75">
      <c r="A16">
        <v>2015</v>
      </c>
      <c r="B16" s="7">
        <f t="shared" si="2"/>
        <v>20309464.43794011</v>
      </c>
      <c r="C16" s="16">
        <f t="shared" si="0"/>
        <v>514104916.42275417</v>
      </c>
      <c r="D16" s="17">
        <v>1</v>
      </c>
      <c r="E16" s="16">
        <f t="shared" si="1"/>
        <v>51410491.642275415</v>
      </c>
    </row>
    <row r="17" spans="1:5" ht="12.75">
      <c r="A17">
        <v>2016</v>
      </c>
      <c r="B17" s="7">
        <f t="shared" si="2"/>
        <v>20614106.40450921</v>
      </c>
      <c r="C17" s="16">
        <f t="shared" si="0"/>
        <v>525528990.16909534</v>
      </c>
      <c r="D17" s="17">
        <v>1</v>
      </c>
      <c r="E17" s="16">
        <f t="shared" si="1"/>
        <v>52552899.01690953</v>
      </c>
    </row>
    <row r="18" spans="1:5" ht="12.75">
      <c r="A18">
        <v>2017</v>
      </c>
      <c r="B18" s="7">
        <f t="shared" si="2"/>
        <v>20923318.000576846</v>
      </c>
      <c r="C18" s="16">
        <f t="shared" si="0"/>
        <v>537124425.0216317</v>
      </c>
      <c r="D18" s="17">
        <v>1</v>
      </c>
      <c r="E18" s="16">
        <f t="shared" si="1"/>
        <v>53712442.50216317</v>
      </c>
    </row>
    <row r="19" spans="1:5" ht="12.75">
      <c r="A19">
        <v>2018</v>
      </c>
      <c r="B19" s="7">
        <f t="shared" si="2"/>
        <v>21237167.770585496</v>
      </c>
      <c r="C19" s="16">
        <f t="shared" si="0"/>
        <v>548893791.3969562</v>
      </c>
      <c r="D19" s="17">
        <v>1</v>
      </c>
      <c r="E19" s="16">
        <f t="shared" si="1"/>
        <v>54889379.13969562</v>
      </c>
    </row>
    <row r="20" spans="1:5" ht="12.75">
      <c r="A20">
        <v>2019</v>
      </c>
      <c r="B20" s="7">
        <f t="shared" si="2"/>
        <v>21555725.287144277</v>
      </c>
      <c r="C20" s="16">
        <f t="shared" si="0"/>
        <v>560839698.2679105</v>
      </c>
      <c r="D20" s="17">
        <v>1</v>
      </c>
      <c r="E20" s="16">
        <f t="shared" si="1"/>
        <v>56083969.82679105</v>
      </c>
    </row>
    <row r="21" spans="1:5" ht="12.75">
      <c r="A21">
        <v>2020</v>
      </c>
      <c r="B21" s="7">
        <f t="shared" si="2"/>
        <v>21879061.16645144</v>
      </c>
      <c r="C21" s="16">
        <f t="shared" si="0"/>
        <v>547464793.7419289</v>
      </c>
      <c r="D21" s="17">
        <v>1.05</v>
      </c>
      <c r="E21" s="16">
        <f t="shared" si="1"/>
        <v>57483803.34290254</v>
      </c>
    </row>
    <row r="22" spans="2:5" ht="12.75">
      <c r="B22" s="7"/>
      <c r="C22" s="16"/>
      <c r="D22" s="16"/>
      <c r="E22" s="16">
        <f>SUM(E6:E21)</f>
        <v>740670880.9683162</v>
      </c>
    </row>
    <row r="23" ht="12.75">
      <c r="B23" s="7"/>
    </row>
    <row r="24" spans="1:2" ht="12.75">
      <c r="A24" t="s">
        <v>28</v>
      </c>
      <c r="B24" s="7"/>
    </row>
    <row r="25" spans="1:3" ht="12.75">
      <c r="A25" t="s">
        <v>26</v>
      </c>
      <c r="B25" s="7" t="s">
        <v>14</v>
      </c>
      <c r="C25" t="s">
        <v>18</v>
      </c>
    </row>
    <row r="26" spans="1:5" ht="12.75">
      <c r="A26">
        <v>2005</v>
      </c>
      <c r="B26" s="7">
        <f>$B$1</f>
        <v>17500000</v>
      </c>
      <c r="C26" s="16">
        <f>(10000000*D26-600000000*D26^8+B26*2)*100</f>
        <v>3500000000</v>
      </c>
      <c r="D26" s="21"/>
      <c r="E26" s="16">
        <f>D26*C26/50</f>
        <v>0</v>
      </c>
    </row>
    <row r="27" spans="1:5" ht="12.75">
      <c r="A27">
        <v>2006</v>
      </c>
      <c r="B27" s="7">
        <f>B26*(1+$B$2)</f>
        <v>17762500</v>
      </c>
      <c r="C27" s="16">
        <f aca="true" t="shared" si="3" ref="C27:C41">(10000000*D27-600000000*D27^8+B27*2)*100</f>
        <v>3600096372.65625</v>
      </c>
      <c r="D27" s="21">
        <v>0.55</v>
      </c>
      <c r="E27" s="16">
        <f aca="true" t="shared" si="4" ref="E27:E41">D27*C27/50</f>
        <v>39601060.099218756</v>
      </c>
    </row>
    <row r="28" spans="1:5" ht="12.75">
      <c r="A28">
        <v>2007</v>
      </c>
      <c r="B28" s="7">
        <f aca="true" t="shared" si="5" ref="B28:B41">B27*(1+$B$2)</f>
        <v>18028937.5</v>
      </c>
      <c r="C28" s="16">
        <f t="shared" si="3"/>
        <v>3653383872.65625</v>
      </c>
      <c r="D28" s="21">
        <v>0.55</v>
      </c>
      <c r="E28" s="16">
        <f t="shared" si="4"/>
        <v>40187222.599218756</v>
      </c>
    </row>
    <row r="29" spans="1:5" ht="12.75">
      <c r="A29">
        <v>2008</v>
      </c>
      <c r="B29" s="7">
        <f t="shared" si="5"/>
        <v>18299371.5625</v>
      </c>
      <c r="C29" s="16">
        <f t="shared" si="3"/>
        <v>3707470685.15625</v>
      </c>
      <c r="D29" s="21">
        <v>0.55</v>
      </c>
      <c r="E29" s="16">
        <f t="shared" si="4"/>
        <v>40782177.536718756</v>
      </c>
    </row>
    <row r="30" spans="1:5" ht="12.75">
      <c r="A30">
        <v>2009</v>
      </c>
      <c r="B30" s="7">
        <f t="shared" si="5"/>
        <v>18573862.135937497</v>
      </c>
      <c r="C30" s="16">
        <f t="shared" si="3"/>
        <v>3762368799.8437495</v>
      </c>
      <c r="D30" s="21">
        <v>0.55</v>
      </c>
      <c r="E30" s="16">
        <f t="shared" si="4"/>
        <v>41386056.79828125</v>
      </c>
    </row>
    <row r="31" spans="1:5" ht="12.75">
      <c r="A31">
        <v>2010</v>
      </c>
      <c r="B31" s="7">
        <f t="shared" si="5"/>
        <v>18852470.067976557</v>
      </c>
      <c r="C31" s="16">
        <f t="shared" si="3"/>
        <v>3818090386.251561</v>
      </c>
      <c r="D31" s="21">
        <v>0.55</v>
      </c>
      <c r="E31" s="16">
        <f t="shared" si="4"/>
        <v>41998994.248767175</v>
      </c>
    </row>
    <row r="32" spans="1:5" ht="12.75">
      <c r="A32">
        <v>2011</v>
      </c>
      <c r="B32" s="7">
        <f t="shared" si="5"/>
        <v>19135257.118996203</v>
      </c>
      <c r="C32" s="16">
        <f t="shared" si="3"/>
        <v>3874647796.4554906</v>
      </c>
      <c r="D32" s="21">
        <v>0.55</v>
      </c>
      <c r="E32" s="16">
        <f t="shared" si="4"/>
        <v>42621125.7610104</v>
      </c>
    </row>
    <row r="33" spans="1:5" ht="12.75">
      <c r="A33">
        <v>2012</v>
      </c>
      <c r="B33" s="7">
        <f t="shared" si="5"/>
        <v>19422285.975781143</v>
      </c>
      <c r="C33" s="16">
        <f t="shared" si="3"/>
        <v>3932053567.8124785</v>
      </c>
      <c r="D33" s="21">
        <v>0.55</v>
      </c>
      <c r="E33" s="16">
        <f t="shared" si="4"/>
        <v>43252589.24593727</v>
      </c>
    </row>
    <row r="34" spans="1:5" ht="12.75">
      <c r="A34">
        <v>2013</v>
      </c>
      <c r="B34" s="7">
        <f t="shared" si="5"/>
        <v>19713620.26541786</v>
      </c>
      <c r="C34" s="16">
        <f t="shared" si="3"/>
        <v>3990320425.739822</v>
      </c>
      <c r="D34" s="21">
        <v>0.55</v>
      </c>
      <c r="E34" s="16">
        <f t="shared" si="4"/>
        <v>43893524.68313804</v>
      </c>
    </row>
    <row r="35" spans="1:5" ht="12.75">
      <c r="A35">
        <v>2014</v>
      </c>
      <c r="B35" s="7">
        <f t="shared" si="5"/>
        <v>20009324.569399126</v>
      </c>
      <c r="C35" s="16">
        <f t="shared" si="3"/>
        <v>4049461286.536075</v>
      </c>
      <c r="D35" s="21">
        <v>0.55</v>
      </c>
      <c r="E35" s="16">
        <f t="shared" si="4"/>
        <v>44544074.15189683</v>
      </c>
    </row>
    <row r="36" spans="1:5" ht="12.75">
      <c r="A36">
        <v>2015</v>
      </c>
      <c r="B36" s="7">
        <f t="shared" si="5"/>
        <v>20309464.43794011</v>
      </c>
      <c r="C36" s="16">
        <f t="shared" si="3"/>
        <v>4109489260.2442718</v>
      </c>
      <c r="D36" s="21">
        <v>0.55</v>
      </c>
      <c r="E36" s="16">
        <f t="shared" si="4"/>
        <v>45204381.862687</v>
      </c>
    </row>
    <row r="37" spans="1:5" ht="12.75">
      <c r="A37">
        <v>2016</v>
      </c>
      <c r="B37" s="7">
        <f t="shared" si="5"/>
        <v>20614106.40450921</v>
      </c>
      <c r="C37" s="16">
        <f t="shared" si="3"/>
        <v>4170417653.5580916</v>
      </c>
      <c r="D37" s="21">
        <v>0.55</v>
      </c>
      <c r="E37" s="16">
        <f t="shared" si="4"/>
        <v>45874594.189139016</v>
      </c>
    </row>
    <row r="38" spans="1:5" ht="12.75">
      <c r="A38">
        <v>2017</v>
      </c>
      <c r="B38" s="7">
        <f t="shared" si="5"/>
        <v>20923318.000576846</v>
      </c>
      <c r="C38" s="16">
        <f t="shared" si="3"/>
        <v>4232259972.7716193</v>
      </c>
      <c r="D38" s="21">
        <v>0.55</v>
      </c>
      <c r="E38" s="16">
        <f t="shared" si="4"/>
        <v>46554859.700487815</v>
      </c>
    </row>
    <row r="39" spans="1:5" ht="12.75">
      <c r="A39">
        <v>2018</v>
      </c>
      <c r="B39" s="7">
        <f t="shared" si="5"/>
        <v>21237167.770585496</v>
      </c>
      <c r="C39" s="16">
        <f t="shared" si="3"/>
        <v>4295029926.773349</v>
      </c>
      <c r="D39" s="21">
        <v>0.55</v>
      </c>
      <c r="E39" s="16">
        <f t="shared" si="4"/>
        <v>47245329.19450684</v>
      </c>
    </row>
    <row r="40" spans="1:5" ht="12.75">
      <c r="A40">
        <v>2019</v>
      </c>
      <c r="B40" s="7">
        <f t="shared" si="5"/>
        <v>21555725.287144277</v>
      </c>
      <c r="C40" s="16">
        <f t="shared" si="3"/>
        <v>4358741430.085106</v>
      </c>
      <c r="D40" s="21">
        <v>0.55</v>
      </c>
      <c r="E40" s="16">
        <f t="shared" si="4"/>
        <v>47946155.73093616</v>
      </c>
    </row>
    <row r="41" spans="1:5" ht="12.75">
      <c r="A41">
        <v>2020</v>
      </c>
      <c r="B41" s="7">
        <f t="shared" si="5"/>
        <v>21879061.16645144</v>
      </c>
      <c r="C41" s="16">
        <f t="shared" si="3"/>
        <v>4423408605.946538</v>
      </c>
      <c r="D41" s="21">
        <v>0.55</v>
      </c>
      <c r="E41" s="16">
        <f t="shared" si="4"/>
        <v>48657494.66541192</v>
      </c>
    </row>
    <row r="42" ht="12.75">
      <c r="E42" s="16">
        <f>SUM(E26:E41)</f>
        <v>659749640.467356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S30" sqref="S30"/>
    </sheetView>
  </sheetViews>
  <sheetFormatPr defaultColWidth="9.140625" defaultRowHeight="12.75"/>
  <cols>
    <col min="2" max="26" width="6.8515625" style="0" customWidth="1"/>
  </cols>
  <sheetData>
    <row r="1" spans="1:10" ht="12.75">
      <c r="A1" s="1"/>
      <c r="B1" s="2" t="s">
        <v>42</v>
      </c>
      <c r="C1" s="2" t="s">
        <v>43</v>
      </c>
      <c r="D1" s="2" t="s">
        <v>44</v>
      </c>
      <c r="E1" s="2" t="s">
        <v>40</v>
      </c>
      <c r="F1" s="2" t="s">
        <v>37</v>
      </c>
      <c r="G1" s="2" t="s">
        <v>38</v>
      </c>
      <c r="H1" s="2" t="s">
        <v>39</v>
      </c>
      <c r="I1" s="2" t="s">
        <v>45</v>
      </c>
      <c r="J1" s="3" t="s">
        <v>41</v>
      </c>
    </row>
    <row r="2" spans="1:10" ht="12.75">
      <c r="A2" s="4" t="s">
        <v>46</v>
      </c>
      <c r="B2" s="5">
        <v>5</v>
      </c>
      <c r="C2" s="5">
        <v>23</v>
      </c>
      <c r="D2" s="5">
        <v>4</v>
      </c>
      <c r="E2" s="5">
        <v>4.86</v>
      </c>
      <c r="F2" s="5">
        <v>-0.595</v>
      </c>
      <c r="G2" s="5">
        <v>-0.05106</v>
      </c>
      <c r="H2" s="5">
        <v>-0.2142</v>
      </c>
      <c r="I2" s="5">
        <f>EXP(E2+F2*B2+G2*C2+H2*D2)</f>
        <v>0.864002168796585</v>
      </c>
      <c r="J2" s="26">
        <f>I2/$I$7</f>
        <v>0.08556625932704215</v>
      </c>
    </row>
    <row r="3" spans="1:10" ht="12.75">
      <c r="A3" s="4" t="s">
        <v>47</v>
      </c>
      <c r="B3" s="5">
        <v>0.4</v>
      </c>
      <c r="C3" s="5">
        <v>41</v>
      </c>
      <c r="D3" s="5">
        <v>18</v>
      </c>
      <c r="E3" s="5">
        <v>9.95</v>
      </c>
      <c r="F3" s="5">
        <v>-0.595</v>
      </c>
      <c r="G3" s="5">
        <v>-0.06663</v>
      </c>
      <c r="H3" s="5">
        <v>-0.3035</v>
      </c>
      <c r="I3" s="5">
        <f>EXP(E3+F3*B3+G3*C3+H3*D3)</f>
        <v>4.559304089827576</v>
      </c>
      <c r="J3" s="26">
        <f>I3/$I$7</f>
        <v>0.45152964910308935</v>
      </c>
    </row>
    <row r="4" spans="1:10" ht="12.75">
      <c r="A4" s="4" t="s">
        <v>48</v>
      </c>
      <c r="B4" s="5">
        <v>0.33</v>
      </c>
      <c r="C4" s="5">
        <v>43</v>
      </c>
      <c r="D4" s="5">
        <v>5</v>
      </c>
      <c r="E4" s="5">
        <v>3.4</v>
      </c>
      <c r="F4" s="5">
        <v>-0.595</v>
      </c>
      <c r="G4" s="5">
        <v>-0.0461</v>
      </c>
      <c r="H4" s="5">
        <v>-0.07624</v>
      </c>
      <c r="I4" s="5">
        <f>EXP(E4+F4*B4+G4*C4+H4*D4)</f>
        <v>2.31671445788804</v>
      </c>
      <c r="J4" s="26">
        <f>I4/$I$7</f>
        <v>0.22943529223596948</v>
      </c>
    </row>
    <row r="5" spans="1:10" ht="12.75">
      <c r="A5" s="4" t="s">
        <v>49</v>
      </c>
      <c r="B5" s="5">
        <v>0.5</v>
      </c>
      <c r="C5" s="5">
        <v>45</v>
      </c>
      <c r="D5" s="5">
        <v>25</v>
      </c>
      <c r="E5" s="5">
        <v>0</v>
      </c>
      <c r="F5" s="5">
        <v>-0.595</v>
      </c>
      <c r="G5" s="5">
        <v>-0.001989</v>
      </c>
      <c r="H5" s="5">
        <v>0.01131</v>
      </c>
      <c r="I5" s="5">
        <f>EXP(E5+F5*B5+G5*C5+H5*D5)</f>
        <v>0.9009955142689594</v>
      </c>
      <c r="J5" s="26">
        <f>I5/$I$7</f>
        <v>0.08922988692704334</v>
      </c>
    </row>
    <row r="6" spans="1:10" ht="12.75">
      <c r="A6" s="4" t="s">
        <v>50</v>
      </c>
      <c r="B6" s="11">
        <v>0.2</v>
      </c>
      <c r="C6" s="5">
        <v>44</v>
      </c>
      <c r="D6" s="5">
        <v>19</v>
      </c>
      <c r="E6" s="5">
        <v>0.495</v>
      </c>
      <c r="F6" s="5">
        <v>-0.595</v>
      </c>
      <c r="G6" s="5"/>
      <c r="H6" s="5"/>
      <c r="I6" s="5">
        <f>EXP(E6+F6*B6+G6*C6+H6*D6)</f>
        <v>1.456447133771086</v>
      </c>
      <c r="J6" s="26">
        <f>I6/$I$7</f>
        <v>0.1442389124068557</v>
      </c>
    </row>
    <row r="7" spans="1:10" ht="13.5" thickBot="1">
      <c r="A7" s="12"/>
      <c r="B7" s="13"/>
      <c r="C7" s="13"/>
      <c r="D7" s="13"/>
      <c r="E7" s="13"/>
      <c r="F7" s="13"/>
      <c r="G7" s="13"/>
      <c r="H7" s="13"/>
      <c r="I7" s="13">
        <f>SUM(I2:I6)</f>
        <v>10.097463364552246</v>
      </c>
      <c r="J7" s="27">
        <f>SUM(J2:J6)</f>
        <v>1</v>
      </c>
    </row>
    <row r="8" ht="13.5" thickBot="1">
      <c r="A8" s="14"/>
    </row>
    <row r="9" spans="2:26" ht="12.75">
      <c r="B9" s="28" t="s">
        <v>55</v>
      </c>
      <c r="C9" s="29"/>
      <c r="D9" s="29"/>
      <c r="E9" s="29"/>
      <c r="F9" s="30"/>
      <c r="G9" s="31" t="s">
        <v>56</v>
      </c>
      <c r="H9" s="32"/>
      <c r="I9" s="32"/>
      <c r="J9" s="32"/>
      <c r="K9" s="33"/>
      <c r="L9" s="31" t="s">
        <v>57</v>
      </c>
      <c r="M9" s="32"/>
      <c r="N9" s="32"/>
      <c r="O9" s="32"/>
      <c r="P9" s="33"/>
      <c r="Q9" s="31" t="s">
        <v>58</v>
      </c>
      <c r="R9" s="32"/>
      <c r="S9" s="32"/>
      <c r="T9" s="32"/>
      <c r="U9" s="33"/>
      <c r="V9" s="31" t="s">
        <v>59</v>
      </c>
      <c r="W9" s="32"/>
      <c r="X9" s="32"/>
      <c r="Y9" s="32"/>
      <c r="Z9" s="33"/>
    </row>
    <row r="10" spans="2:26" ht="12.75">
      <c r="B10" s="4" t="s">
        <v>51</v>
      </c>
      <c r="C10" s="5" t="s">
        <v>52</v>
      </c>
      <c r="D10" s="5" t="s">
        <v>53</v>
      </c>
      <c r="E10" s="5" t="s">
        <v>45</v>
      </c>
      <c r="F10" s="6" t="s">
        <v>54</v>
      </c>
      <c r="G10" s="4" t="s">
        <v>51</v>
      </c>
      <c r="H10" s="5" t="s">
        <v>52</v>
      </c>
      <c r="I10" s="5" t="s">
        <v>53</v>
      </c>
      <c r="J10" s="5" t="s">
        <v>45</v>
      </c>
      <c r="K10" s="6" t="s">
        <v>54</v>
      </c>
      <c r="L10" s="4" t="s">
        <v>51</v>
      </c>
      <c r="M10" s="5" t="s">
        <v>52</v>
      </c>
      <c r="N10" s="5" t="s">
        <v>53</v>
      </c>
      <c r="O10" s="5" t="s">
        <v>45</v>
      </c>
      <c r="P10" s="6" t="s">
        <v>54</v>
      </c>
      <c r="Q10" s="45" t="s">
        <v>51</v>
      </c>
      <c r="R10" s="41" t="s">
        <v>52</v>
      </c>
      <c r="S10" s="5" t="s">
        <v>53</v>
      </c>
      <c r="T10" s="5" t="s">
        <v>45</v>
      </c>
      <c r="U10" s="6" t="s">
        <v>54</v>
      </c>
      <c r="V10" s="4" t="s">
        <v>51</v>
      </c>
      <c r="W10" s="5" t="s">
        <v>52</v>
      </c>
      <c r="X10" s="5" t="s">
        <v>53</v>
      </c>
      <c r="Y10" s="5" t="s">
        <v>45</v>
      </c>
      <c r="Z10" s="6" t="s">
        <v>54</v>
      </c>
    </row>
    <row r="11" spans="1:26" ht="12.75">
      <c r="A11">
        <v>2005</v>
      </c>
      <c r="B11" s="39">
        <v>5</v>
      </c>
      <c r="C11" s="41">
        <v>23</v>
      </c>
      <c r="D11" s="42">
        <v>4</v>
      </c>
      <c r="E11" s="19">
        <f>EXP($E$2+$F$2*B11+$G$2*C11+$H$2*D11)</f>
        <v>0.864002168796585</v>
      </c>
      <c r="F11" s="46">
        <f>E11/(E11+J11+O11+T11+Y11)</f>
        <v>0.08556625932704215</v>
      </c>
      <c r="G11" s="39">
        <v>0.4</v>
      </c>
      <c r="H11" s="42">
        <v>41</v>
      </c>
      <c r="I11" s="42">
        <v>18</v>
      </c>
      <c r="J11" s="19">
        <f>EXP($E$3+$F$3*G11+$G$3*H11+$H$3*I11)</f>
        <v>4.559304089827576</v>
      </c>
      <c r="K11" s="46">
        <f>J11/(E11+J11+O11+T11+Y11)</f>
        <v>0.45152964910308935</v>
      </c>
      <c r="L11" s="39">
        <v>0.33</v>
      </c>
      <c r="M11" s="42">
        <v>43</v>
      </c>
      <c r="N11" s="42">
        <v>5</v>
      </c>
      <c r="O11" s="19">
        <f>EXP($E$4+$F$4*L11+$G$4*M11+$H$4*N11)</f>
        <v>2.31671445788804</v>
      </c>
      <c r="P11" s="46">
        <f>O11/(E11+J11+O11+T11+Y11)</f>
        <v>0.22943529223596948</v>
      </c>
      <c r="Q11" s="39">
        <v>0.5</v>
      </c>
      <c r="R11" s="42">
        <v>45</v>
      </c>
      <c r="S11" s="42">
        <v>25</v>
      </c>
      <c r="T11" s="19">
        <f>EXP($E$5+$F$5*Q11+$G$5*R11+$H$5*S11)</f>
        <v>0.9009955142689594</v>
      </c>
      <c r="U11" s="46">
        <f>T11/(E11+J11+O11+T11+Y11)</f>
        <v>0.08922988692704334</v>
      </c>
      <c r="V11" s="39">
        <v>0.2</v>
      </c>
      <c r="W11" s="42">
        <v>44</v>
      </c>
      <c r="X11" s="42">
        <v>19</v>
      </c>
      <c r="Y11" s="19">
        <f>EXP($E$6+$F$6*V11)</f>
        <v>1.456447133771086</v>
      </c>
      <c r="Z11" s="46">
        <f>Y11/(Y11+T11+O11+J11+E11)</f>
        <v>0.1442389124068557</v>
      </c>
    </row>
    <row r="12" spans="1:26" ht="12.75">
      <c r="A12">
        <v>2006</v>
      </c>
      <c r="B12" s="39">
        <f>B11*(1+$B$28)</f>
        <v>5.05</v>
      </c>
      <c r="C12" s="41">
        <f>C11*(1+$C$28)</f>
        <v>23.23</v>
      </c>
      <c r="D12" s="41">
        <f>D11*(1+$D$28)</f>
        <v>4</v>
      </c>
      <c r="E12" s="19">
        <f aca="true" t="shared" si="0" ref="E12:E26">EXP($E$2+$F$2*B12+$G$2*C12+$H$2*D12)</f>
        <v>0.8288850454399449</v>
      </c>
      <c r="F12" s="46">
        <f aca="true" t="shared" si="1" ref="F12:F26">E12/(E12+J12+O12+T12+Y12)</f>
        <v>0.08648731079958993</v>
      </c>
      <c r="G12" s="39">
        <f>G11*(1+$G$28)</f>
        <v>0.404</v>
      </c>
      <c r="H12" s="42">
        <f>H11*(1+$H$28)</f>
        <v>41.410000000000004</v>
      </c>
      <c r="I12" s="42">
        <f>I11*(1+$I$28)</f>
        <v>18</v>
      </c>
      <c r="J12" s="19">
        <f aca="true" t="shared" si="2" ref="J12:J26">EXP($E$3+$F$3*G12+$G$3*H12+$H$3*I12)</f>
        <v>4.425891380083533</v>
      </c>
      <c r="K12" s="46">
        <f aca="true" t="shared" si="3" ref="K12:K26">J12/(E12+J12+O12+T12+Y12)</f>
        <v>0.4618052231251701</v>
      </c>
      <c r="L12" s="39">
        <f>L11*(1+$L$28)+0.001*Auto_Toll!D7+0.01*Auto_Toll!D27</f>
        <v>0.33975000000000005</v>
      </c>
      <c r="M12" s="42">
        <f>M11*(1+$M$28)</f>
        <v>43.43</v>
      </c>
      <c r="N12" s="42">
        <f>N11*(1+$N$28)</f>
        <v>5</v>
      </c>
      <c r="O12" s="19">
        <f aca="true" t="shared" si="4" ref="O12:O26">EXP($E$4+$F$4*L12+$G$4*M12+$H$4*N12)</f>
        <v>2.2581045123059913</v>
      </c>
      <c r="P12" s="46">
        <f aca="true" t="shared" si="5" ref="P12:P26">O12/(E12+J12+O12+T12+Y12)</f>
        <v>0.2356145618118943</v>
      </c>
      <c r="Q12" s="39">
        <v>0.75</v>
      </c>
      <c r="R12" s="42">
        <f>R11*(1+$R$28)</f>
        <v>45.45</v>
      </c>
      <c r="S12" s="42">
        <f>S11*(1+$S$28)</f>
        <v>25.25</v>
      </c>
      <c r="T12" s="19">
        <f aca="true" t="shared" si="6" ref="T12:T26">EXP($E$5+$F$5*Q12+$G$5*R12+$H$5*S12)</f>
        <v>0.7779659280834126</v>
      </c>
      <c r="U12" s="46">
        <f aca="true" t="shared" si="7" ref="U12:U26">T12/(E12+J12+O12+T12+Y12)</f>
        <v>0.08117432131729353</v>
      </c>
      <c r="V12" s="39">
        <v>0.4</v>
      </c>
      <c r="W12" s="42">
        <f>W11*(1+$W$28)</f>
        <v>44</v>
      </c>
      <c r="X12" s="42">
        <f>X11*(1+$X$28)</f>
        <v>19</v>
      </c>
      <c r="Y12" s="19">
        <f aca="true" t="shared" si="8" ref="Y12:Y26">EXP($E$6+$F$6*V12)</f>
        <v>1.2930451267593537</v>
      </c>
      <c r="Z12" s="46">
        <f aca="true" t="shared" si="9" ref="Z12:Z26">Y12/(Y12+T12+O12+J12+E12)</f>
        <v>0.1349185829460521</v>
      </c>
    </row>
    <row r="13" spans="1:26" ht="12.75">
      <c r="A13">
        <v>2007</v>
      </c>
      <c r="B13" s="39">
        <f aca="true" t="shared" si="10" ref="B13:B26">B12*(1+$B$28)</f>
        <v>5.1005</v>
      </c>
      <c r="C13" s="41">
        <f aca="true" t="shared" si="11" ref="C13:C26">C12*(1+$C$28)</f>
        <v>23.4623</v>
      </c>
      <c r="D13" s="41">
        <f aca="true" t="shared" si="12" ref="D13:D26">D12*(1+$D$28)</f>
        <v>4</v>
      </c>
      <c r="E13" s="19">
        <f t="shared" si="0"/>
        <v>0.7948653593332196</v>
      </c>
      <c r="F13" s="46">
        <f t="shared" si="1"/>
        <v>0.08489506008995872</v>
      </c>
      <c r="G13" s="39">
        <f aca="true" t="shared" si="13" ref="G13:G26">G12*(1+$G$28)</f>
        <v>0.40804</v>
      </c>
      <c r="H13" s="42">
        <f aca="true" t="shared" si="14" ref="H13:H26">H12*(1+$H$28)</f>
        <v>41.8241</v>
      </c>
      <c r="I13" s="42">
        <f aca="true" t="shared" si="15" ref="I13:I26">I12*(1+$I$28)</f>
        <v>18</v>
      </c>
      <c r="J13" s="19">
        <f t="shared" si="2"/>
        <v>4.295106781743814</v>
      </c>
      <c r="K13" s="46">
        <f t="shared" si="3"/>
        <v>0.45873599100457274</v>
      </c>
      <c r="L13" s="39">
        <f>L12*(1+$L$28)+0.001*Auto_Toll!D8+0.01*Auto_Toll!D28</f>
        <v>0.34959750000000006</v>
      </c>
      <c r="M13" s="42">
        <f aca="true" t="shared" si="16" ref="M13:M26">M12*(1+$M$28)</f>
        <v>43.8643</v>
      </c>
      <c r="N13" s="42">
        <f aca="true" t="shared" si="17" ref="N13:N26">N12*(1+$N$28)</f>
        <v>5</v>
      </c>
      <c r="O13" s="19">
        <f t="shared" si="4"/>
        <v>2.2004134125369053</v>
      </c>
      <c r="P13" s="46">
        <f t="shared" si="5"/>
        <v>0.23501367456341812</v>
      </c>
      <c r="Q13" s="39">
        <v>0.75</v>
      </c>
      <c r="R13" s="42">
        <f aca="true" t="shared" si="18" ref="R13:R26">R12*(1+$R$28)</f>
        <v>45.904500000000006</v>
      </c>
      <c r="S13" s="42">
        <f aca="true" t="shared" si="19" ref="S13:S26">S12*(1+$S$28)</f>
        <v>25.5025</v>
      </c>
      <c r="T13" s="19">
        <f t="shared" si="6"/>
        <v>0.779485824909154</v>
      </c>
      <c r="U13" s="46">
        <f t="shared" si="7"/>
        <v>0.08325245925982329</v>
      </c>
      <c r="V13" s="39">
        <v>0.4</v>
      </c>
      <c r="W13" s="42">
        <f aca="true" t="shared" si="20" ref="W13:W26">W12*(1+$W$28)</f>
        <v>44</v>
      </c>
      <c r="X13" s="42">
        <f aca="true" t="shared" si="21" ref="X13:X26">X12*(1+$X$28)</f>
        <v>19</v>
      </c>
      <c r="Y13" s="19">
        <f t="shared" si="8"/>
        <v>1.2930451267593537</v>
      </c>
      <c r="Z13" s="46">
        <f t="shared" si="9"/>
        <v>0.1381028150822271</v>
      </c>
    </row>
    <row r="14" spans="1:26" ht="12.75">
      <c r="A14">
        <v>2008</v>
      </c>
      <c r="B14" s="39">
        <f t="shared" si="10"/>
        <v>5.151505</v>
      </c>
      <c r="C14" s="41">
        <f t="shared" si="11"/>
        <v>23.696922999999998</v>
      </c>
      <c r="D14" s="41">
        <f t="shared" si="12"/>
        <v>4</v>
      </c>
      <c r="E14" s="19">
        <f t="shared" si="0"/>
        <v>0.7619225541914703</v>
      </c>
      <c r="F14" s="46">
        <f t="shared" si="1"/>
        <v>0.0833014532378472</v>
      </c>
      <c r="G14" s="39">
        <f t="shared" si="13"/>
        <v>0.4121204</v>
      </c>
      <c r="H14" s="42">
        <f t="shared" si="14"/>
        <v>42.242341</v>
      </c>
      <c r="I14" s="42">
        <f t="shared" si="15"/>
        <v>18</v>
      </c>
      <c r="J14" s="19">
        <f t="shared" si="2"/>
        <v>4.166936781796135</v>
      </c>
      <c r="K14" s="46">
        <f t="shared" si="3"/>
        <v>0.45557371620558096</v>
      </c>
      <c r="L14" s="39">
        <f>L13*(1+$L$28)+0.001*Auto_Toll!D9+0.01*Auto_Toll!D29</f>
        <v>0.35954347500000006</v>
      </c>
      <c r="M14" s="42">
        <f t="shared" si="16"/>
        <v>44.302943</v>
      </c>
      <c r="N14" s="42">
        <f t="shared" si="17"/>
        <v>5</v>
      </c>
      <c r="O14" s="19">
        <f t="shared" si="4"/>
        <v>2.1436413749584537</v>
      </c>
      <c r="P14" s="46">
        <f t="shared" si="5"/>
        <v>0.23436560680935306</v>
      </c>
      <c r="Q14" s="39">
        <v>0.75</v>
      </c>
      <c r="R14" s="42">
        <f t="shared" si="18"/>
        <v>46.36354500000001</v>
      </c>
      <c r="S14" s="42">
        <f t="shared" si="19"/>
        <v>25.757525</v>
      </c>
      <c r="T14" s="19">
        <f t="shared" si="6"/>
        <v>0.7810239348048491</v>
      </c>
      <c r="U14" s="46">
        <f t="shared" si="7"/>
        <v>0.08538981872222666</v>
      </c>
      <c r="V14" s="39">
        <v>0.4</v>
      </c>
      <c r="W14" s="42">
        <f t="shared" si="20"/>
        <v>44</v>
      </c>
      <c r="X14" s="42">
        <f t="shared" si="21"/>
        <v>19</v>
      </c>
      <c r="Y14" s="19">
        <f t="shared" si="8"/>
        <v>1.2930451267593537</v>
      </c>
      <c r="Z14" s="46">
        <f t="shared" si="9"/>
        <v>0.14136940502499218</v>
      </c>
    </row>
    <row r="15" spans="1:26" ht="12.75">
      <c r="A15">
        <v>2009</v>
      </c>
      <c r="B15" s="39">
        <f t="shared" si="10"/>
        <v>5.20302005</v>
      </c>
      <c r="C15" s="41">
        <f t="shared" si="11"/>
        <v>23.933892229999998</v>
      </c>
      <c r="D15" s="41">
        <f t="shared" si="12"/>
        <v>4</v>
      </c>
      <c r="E15" s="19">
        <f t="shared" si="0"/>
        <v>0.730035973699253</v>
      </c>
      <c r="F15" s="46">
        <f t="shared" si="1"/>
        <v>0.08170687603870494</v>
      </c>
      <c r="G15" s="39">
        <f t="shared" si="13"/>
        <v>0.416241604</v>
      </c>
      <c r="H15" s="42">
        <f t="shared" si="14"/>
        <v>42.664764410000004</v>
      </c>
      <c r="I15" s="42">
        <f t="shared" si="15"/>
        <v>18</v>
      </c>
      <c r="J15" s="19">
        <f t="shared" si="2"/>
        <v>4.04136696728508</v>
      </c>
      <c r="K15" s="46">
        <f t="shared" si="3"/>
        <v>0.4523167100240896</v>
      </c>
      <c r="L15" s="39">
        <f>L14*(1+$L$28)+0.001*Auto_Toll!D10+0.01*Auto_Toll!D30</f>
        <v>0.3695889097500001</v>
      </c>
      <c r="M15" s="42">
        <f t="shared" si="16"/>
        <v>44.74597243</v>
      </c>
      <c r="N15" s="42">
        <f t="shared" si="17"/>
        <v>5</v>
      </c>
      <c r="O15" s="19">
        <f t="shared" si="4"/>
        <v>2.0877882868144617</v>
      </c>
      <c r="P15" s="46">
        <f t="shared" si="5"/>
        <v>0.23366883947021025</v>
      </c>
      <c r="Q15" s="39">
        <v>0.75</v>
      </c>
      <c r="R15" s="42">
        <f t="shared" si="18"/>
        <v>46.82718045000001</v>
      </c>
      <c r="S15" s="42">
        <f t="shared" si="19"/>
        <v>26.01510025</v>
      </c>
      <c r="T15" s="19">
        <f t="shared" si="6"/>
        <v>0.782580506551943</v>
      </c>
      <c r="U15" s="46">
        <f t="shared" si="7"/>
        <v>0.08758775011474747</v>
      </c>
      <c r="V15" s="39">
        <v>0.4</v>
      </c>
      <c r="W15" s="42">
        <f t="shared" si="20"/>
        <v>44</v>
      </c>
      <c r="X15" s="42">
        <f t="shared" si="21"/>
        <v>19</v>
      </c>
      <c r="Y15" s="19">
        <f t="shared" si="8"/>
        <v>1.2930451267593537</v>
      </c>
      <c r="Z15" s="46">
        <f t="shared" si="9"/>
        <v>0.14471982435224773</v>
      </c>
    </row>
    <row r="16" spans="1:26" ht="12.75">
      <c r="A16">
        <v>2010</v>
      </c>
      <c r="B16" s="39">
        <f t="shared" si="10"/>
        <v>5.2550502505</v>
      </c>
      <c r="C16" s="41">
        <f t="shared" si="11"/>
        <v>24.173231152299998</v>
      </c>
      <c r="D16" s="41">
        <f t="shared" si="12"/>
        <v>4</v>
      </c>
      <c r="E16" s="19">
        <f t="shared" si="0"/>
        <v>0.699184878534963</v>
      </c>
      <c r="F16" s="46">
        <f t="shared" si="1"/>
        <v>0.08011173207284322</v>
      </c>
      <c r="G16" s="39">
        <f t="shared" si="13"/>
        <v>0.42040402004</v>
      </c>
      <c r="H16" s="42">
        <f t="shared" si="14"/>
        <v>43.091412054100005</v>
      </c>
      <c r="I16" s="42">
        <f t="shared" si="15"/>
        <v>18</v>
      </c>
      <c r="J16" s="19">
        <f t="shared" si="2"/>
        <v>3.918382036903403</v>
      </c>
      <c r="K16" s="46">
        <f t="shared" si="3"/>
        <v>0.4489633307819742</v>
      </c>
      <c r="L16" s="39">
        <f>L15*(1+$L$28)+0.001*Auto_Toll!D11+0.01*Auto_Toll!D31</f>
        <v>0.3797347988475001</v>
      </c>
      <c r="M16" s="42">
        <f t="shared" si="16"/>
        <v>45.193432154300005</v>
      </c>
      <c r="N16" s="42">
        <f t="shared" si="17"/>
        <v>5</v>
      </c>
      <c r="O16" s="19">
        <f t="shared" si="4"/>
        <v>2.0328537059614513</v>
      </c>
      <c r="P16" s="46">
        <f t="shared" si="5"/>
        <v>0.23292184432894103</v>
      </c>
      <c r="Q16" s="39">
        <v>0.75</v>
      </c>
      <c r="R16" s="42">
        <f t="shared" si="18"/>
        <v>47.295452254500006</v>
      </c>
      <c r="S16" s="42">
        <f t="shared" si="19"/>
        <v>26.2752512525</v>
      </c>
      <c r="T16" s="19">
        <f t="shared" si="6"/>
        <v>0.7841557929556177</v>
      </c>
      <c r="U16" s="46">
        <f t="shared" si="7"/>
        <v>0.08984759355817078</v>
      </c>
      <c r="V16" s="39">
        <v>0.4</v>
      </c>
      <c r="W16" s="42">
        <f t="shared" si="20"/>
        <v>44</v>
      </c>
      <c r="X16" s="42">
        <f t="shared" si="21"/>
        <v>19</v>
      </c>
      <c r="Y16" s="19">
        <f t="shared" si="8"/>
        <v>1.2930451267593537</v>
      </c>
      <c r="Z16" s="46">
        <f t="shared" si="9"/>
        <v>0.1481554992580707</v>
      </c>
    </row>
    <row r="17" spans="1:26" ht="12.75">
      <c r="A17">
        <v>2011</v>
      </c>
      <c r="B17" s="39">
        <f t="shared" si="10"/>
        <v>5.3076007530050004</v>
      </c>
      <c r="C17" s="41">
        <f t="shared" si="11"/>
        <v>24.414963463823</v>
      </c>
      <c r="D17" s="41">
        <f t="shared" si="12"/>
        <v>4</v>
      </c>
      <c r="E17" s="19">
        <f t="shared" si="0"/>
        <v>0.6693484633411354</v>
      </c>
      <c r="F17" s="46">
        <f t="shared" si="1"/>
        <v>0.0809250465004406</v>
      </c>
      <c r="G17" s="39">
        <f t="shared" si="13"/>
        <v>0.4246080602404</v>
      </c>
      <c r="H17" s="42">
        <f t="shared" si="14"/>
        <v>43.522326174641</v>
      </c>
      <c r="I17" s="42">
        <f t="shared" si="15"/>
        <v>18</v>
      </c>
      <c r="J17" s="19">
        <f t="shared" si="2"/>
        <v>3.797965813408401</v>
      </c>
      <c r="K17" s="46">
        <f t="shared" si="3"/>
        <v>0.4591787042028608</v>
      </c>
      <c r="L17" s="39">
        <f>L16*(1+$L$28)+0.001*Auto_Toll!D12+0.01*Auto_Toll!D32</f>
        <v>0.39003214683597515</v>
      </c>
      <c r="M17" s="42">
        <f t="shared" si="16"/>
        <v>45.645366475843005</v>
      </c>
      <c r="N17" s="42">
        <f t="shared" si="17"/>
        <v>5</v>
      </c>
      <c r="O17" s="19">
        <f t="shared" si="4"/>
        <v>1.9787779913642582</v>
      </c>
      <c r="P17" s="46">
        <f t="shared" si="5"/>
        <v>0.23923667526758624</v>
      </c>
      <c r="Q17" s="39">
        <v>1</v>
      </c>
      <c r="R17" s="42">
        <f t="shared" si="18"/>
        <v>47.76840677704501</v>
      </c>
      <c r="S17" s="42">
        <f t="shared" si="19"/>
        <v>26.538003765025</v>
      </c>
      <c r="T17" s="19">
        <f t="shared" si="6"/>
        <v>0.6771472415563049</v>
      </c>
      <c r="U17" s="46">
        <f t="shared" si="7"/>
        <v>0.08186792830905629</v>
      </c>
      <c r="V17" s="39">
        <v>0.6</v>
      </c>
      <c r="W17" s="42">
        <f t="shared" si="20"/>
        <v>44</v>
      </c>
      <c r="X17" s="42">
        <f t="shared" si="21"/>
        <v>19</v>
      </c>
      <c r="Y17" s="19">
        <f t="shared" si="8"/>
        <v>1.1479755502741786</v>
      </c>
      <c r="Z17" s="46">
        <f t="shared" si="9"/>
        <v>0.13879164572005606</v>
      </c>
    </row>
    <row r="18" spans="1:26" ht="12.75">
      <c r="A18">
        <v>2012</v>
      </c>
      <c r="B18" s="39">
        <f t="shared" si="10"/>
        <v>5.360676760535051</v>
      </c>
      <c r="C18" s="41">
        <f t="shared" si="11"/>
        <v>24.65911309846123</v>
      </c>
      <c r="D18" s="41">
        <f t="shared" si="12"/>
        <v>4</v>
      </c>
      <c r="E18" s="19">
        <f t="shared" si="0"/>
        <v>0.6405058736166115</v>
      </c>
      <c r="F18" s="46">
        <f t="shared" si="1"/>
        <v>0.07934180000458925</v>
      </c>
      <c r="G18" s="39">
        <f t="shared" si="13"/>
        <v>0.428854140842804</v>
      </c>
      <c r="H18" s="42">
        <f t="shared" si="14"/>
        <v>43.95754943638741</v>
      </c>
      <c r="I18" s="42">
        <f t="shared" si="15"/>
        <v>18</v>
      </c>
      <c r="J18" s="19">
        <f t="shared" si="2"/>
        <v>3.680101256855048</v>
      </c>
      <c r="K18" s="46">
        <f t="shared" si="3"/>
        <v>0.4558675727192552</v>
      </c>
      <c r="L18" s="39">
        <f>L17*(1+$L$28)+0.001*Auto_Toll!D13+0.01*Auto_Toll!D33</f>
        <v>0.40043246830433493</v>
      </c>
      <c r="M18" s="42">
        <f t="shared" si="16"/>
        <v>46.10182014060143</v>
      </c>
      <c r="N18" s="42">
        <f t="shared" si="17"/>
        <v>5</v>
      </c>
      <c r="O18" s="19">
        <f t="shared" si="4"/>
        <v>1.9256215001959172</v>
      </c>
      <c r="P18" s="46">
        <f t="shared" si="5"/>
        <v>0.23853376252492053</v>
      </c>
      <c r="Q18" s="39">
        <v>1</v>
      </c>
      <c r="R18" s="42">
        <f t="shared" si="18"/>
        <v>48.246090844815456</v>
      </c>
      <c r="S18" s="42">
        <f t="shared" si="19"/>
        <v>26.80338380267525</v>
      </c>
      <c r="T18" s="19">
        <f t="shared" si="6"/>
        <v>0.6785377228159581</v>
      </c>
      <c r="U18" s="46">
        <f t="shared" si="7"/>
        <v>0.0840529439570106</v>
      </c>
      <c r="V18" s="39">
        <v>0.6</v>
      </c>
      <c r="W18" s="42">
        <f t="shared" si="20"/>
        <v>44</v>
      </c>
      <c r="X18" s="42">
        <f t="shared" si="21"/>
        <v>19</v>
      </c>
      <c r="Y18" s="19">
        <f t="shared" si="8"/>
        <v>1.1479755502741786</v>
      </c>
      <c r="Z18" s="46">
        <f t="shared" si="9"/>
        <v>0.14220392079422448</v>
      </c>
    </row>
    <row r="19" spans="1:26" ht="12.75">
      <c r="A19">
        <v>2013</v>
      </c>
      <c r="B19" s="39">
        <f t="shared" si="10"/>
        <v>5.414283528140401</v>
      </c>
      <c r="C19" s="41">
        <f t="shared" si="11"/>
        <v>24.905704229445842</v>
      </c>
      <c r="D19" s="41">
        <f t="shared" si="12"/>
        <v>4</v>
      </c>
      <c r="E19" s="19">
        <f t="shared" si="0"/>
        <v>0.6126362225065557</v>
      </c>
      <c r="F19" s="46">
        <f t="shared" si="1"/>
        <v>0.07775844279869677</v>
      </c>
      <c r="G19" s="39">
        <f t="shared" si="13"/>
        <v>0.43314268225123204</v>
      </c>
      <c r="H19" s="42">
        <f t="shared" si="14"/>
        <v>44.39712493075128</v>
      </c>
      <c r="I19" s="42">
        <f t="shared" si="15"/>
        <v>18</v>
      </c>
      <c r="J19" s="19">
        <f t="shared" si="2"/>
        <v>3.5647704786366625</v>
      </c>
      <c r="K19" s="46">
        <f t="shared" si="3"/>
        <v>0.45245610881355564</v>
      </c>
      <c r="L19" s="39">
        <f>L18*(1+$L$28)+0.001*Auto_Toll!D14+0.01*Auto_Toll!D34</f>
        <v>0.4109367929873783</v>
      </c>
      <c r="M19" s="42">
        <f t="shared" si="16"/>
        <v>46.562838342007446</v>
      </c>
      <c r="N19" s="42">
        <f t="shared" si="17"/>
        <v>5</v>
      </c>
      <c r="O19" s="19">
        <f t="shared" si="4"/>
        <v>1.873382762575714</v>
      </c>
      <c r="P19" s="46">
        <f t="shared" si="5"/>
        <v>0.2377778541853186</v>
      </c>
      <c r="Q19" s="39">
        <v>1</v>
      </c>
      <c r="R19" s="42">
        <f t="shared" si="18"/>
        <v>48.72855175326361</v>
      </c>
      <c r="S19" s="42">
        <f t="shared" si="19"/>
        <v>27.071417640702002</v>
      </c>
      <c r="T19" s="19">
        <f t="shared" si="6"/>
        <v>0.6799450071497428</v>
      </c>
      <c r="U19" s="46">
        <f t="shared" si="7"/>
        <v>0.08630156527211706</v>
      </c>
      <c r="V19" s="39">
        <v>0.6</v>
      </c>
      <c r="W19" s="42">
        <f t="shared" si="20"/>
        <v>44</v>
      </c>
      <c r="X19" s="42">
        <f t="shared" si="21"/>
        <v>19</v>
      </c>
      <c r="Y19" s="19">
        <f t="shared" si="8"/>
        <v>1.1479755502741786</v>
      </c>
      <c r="Z19" s="46">
        <f t="shared" si="9"/>
        <v>0.14570602893031187</v>
      </c>
    </row>
    <row r="20" spans="1:26" ht="12.75">
      <c r="A20">
        <v>2014</v>
      </c>
      <c r="B20" s="39">
        <f t="shared" si="10"/>
        <v>5.468426363421805</v>
      </c>
      <c r="C20" s="41">
        <f t="shared" si="11"/>
        <v>25.154761271740302</v>
      </c>
      <c r="D20" s="41">
        <f t="shared" si="12"/>
        <v>4</v>
      </c>
      <c r="E20" s="19">
        <f t="shared" si="0"/>
        <v>0.5857186074664404</v>
      </c>
      <c r="F20" s="46">
        <f t="shared" si="1"/>
        <v>0.07617539978422765</v>
      </c>
      <c r="G20" s="39">
        <f t="shared" si="13"/>
        <v>0.43747410907374434</v>
      </c>
      <c r="H20" s="42">
        <f t="shared" si="14"/>
        <v>44.8410961800588</v>
      </c>
      <c r="I20" s="42">
        <f t="shared" si="15"/>
        <v>18</v>
      </c>
      <c r="J20" s="19">
        <f t="shared" si="2"/>
        <v>3.4519547563223476</v>
      </c>
      <c r="K20" s="46">
        <f t="shared" si="3"/>
        <v>0.4489425984558417</v>
      </c>
      <c r="L20" s="39">
        <f>L19*(1+$L$28)+0.001*Auto_Toll!D15+0.01*Auto_Toll!D35</f>
        <v>0.42154616091725206</v>
      </c>
      <c r="M20" s="42">
        <f t="shared" si="16"/>
        <v>47.02846672542752</v>
      </c>
      <c r="N20" s="42">
        <f t="shared" si="17"/>
        <v>5</v>
      </c>
      <c r="O20" s="19">
        <f t="shared" si="4"/>
        <v>1.8220599800871486</v>
      </c>
      <c r="P20" s="46">
        <f t="shared" si="5"/>
        <v>0.23696728368311729</v>
      </c>
      <c r="Q20" s="39">
        <v>1</v>
      </c>
      <c r="R20" s="42">
        <f t="shared" si="18"/>
        <v>49.21583727079624</v>
      </c>
      <c r="S20" s="42">
        <f t="shared" si="19"/>
        <v>27.34213181710902</v>
      </c>
      <c r="T20" s="19">
        <f t="shared" si="6"/>
        <v>0.6813693269754836</v>
      </c>
      <c r="U20" s="46">
        <f t="shared" si="7"/>
        <v>0.08861521594401707</v>
      </c>
      <c r="V20" s="39">
        <v>0.6</v>
      </c>
      <c r="W20" s="42">
        <f t="shared" si="20"/>
        <v>44</v>
      </c>
      <c r="X20" s="42">
        <f t="shared" si="21"/>
        <v>19</v>
      </c>
      <c r="Y20" s="19">
        <f t="shared" si="8"/>
        <v>1.1479755502741786</v>
      </c>
      <c r="Z20" s="46">
        <f t="shared" si="9"/>
        <v>0.14929950213279625</v>
      </c>
    </row>
    <row r="21" spans="1:26" ht="12.75">
      <c r="A21">
        <v>2015</v>
      </c>
      <c r="B21" s="39">
        <f t="shared" si="10"/>
        <v>5.523110627056023</v>
      </c>
      <c r="C21" s="41">
        <f t="shared" si="11"/>
        <v>25.406308884457705</v>
      </c>
      <c r="D21" s="41">
        <f t="shared" si="12"/>
        <v>4</v>
      </c>
      <c r="E21" s="19">
        <f t="shared" si="0"/>
        <v>0.5597321267763039</v>
      </c>
      <c r="F21" s="46">
        <f t="shared" si="1"/>
        <v>0.07459311490032598</v>
      </c>
      <c r="G21" s="39">
        <f t="shared" si="13"/>
        <v>0.4418488501644818</v>
      </c>
      <c r="H21" s="42">
        <f t="shared" si="14"/>
        <v>45.28950714185939</v>
      </c>
      <c r="I21" s="42">
        <f t="shared" si="15"/>
        <v>18</v>
      </c>
      <c r="J21" s="19">
        <f t="shared" si="2"/>
        <v>3.3416345492791204</v>
      </c>
      <c r="K21" s="46">
        <f t="shared" si="3"/>
        <v>0.4453253939967144</v>
      </c>
      <c r="L21" s="39">
        <f>L20*(1+$L$28)+0.001*Auto_Toll!D16+0.01*Auto_Toll!D36</f>
        <v>0.4322616225264246</v>
      </c>
      <c r="M21" s="42">
        <f t="shared" si="16"/>
        <v>47.4987513926818</v>
      </c>
      <c r="N21" s="42">
        <f t="shared" si="17"/>
        <v>5</v>
      </c>
      <c r="O21" s="19">
        <f t="shared" si="4"/>
        <v>1.7716510269377823</v>
      </c>
      <c r="P21" s="46">
        <f t="shared" si="5"/>
        <v>0.23610038140345166</v>
      </c>
      <c r="Q21" s="39">
        <v>1</v>
      </c>
      <c r="R21" s="42">
        <f t="shared" si="18"/>
        <v>49.707995643504205</v>
      </c>
      <c r="S21" s="42">
        <f t="shared" si="19"/>
        <v>27.615553135280113</v>
      </c>
      <c r="T21" s="19">
        <f t="shared" si="6"/>
        <v>0.6828109185283396</v>
      </c>
      <c r="U21" s="46">
        <f t="shared" si="7"/>
        <v>0.09099530090281355</v>
      </c>
      <c r="V21" s="39">
        <v>0.6</v>
      </c>
      <c r="W21" s="42">
        <f t="shared" si="20"/>
        <v>44</v>
      </c>
      <c r="X21" s="42">
        <f t="shared" si="21"/>
        <v>19</v>
      </c>
      <c r="Y21" s="19">
        <f t="shared" si="8"/>
        <v>1.1479755502741786</v>
      </c>
      <c r="Z21" s="46">
        <f t="shared" si="9"/>
        <v>0.1529858087966944</v>
      </c>
    </row>
    <row r="22" spans="1:26" ht="12.75">
      <c r="A22">
        <v>2016</v>
      </c>
      <c r="B22" s="39">
        <f t="shared" si="10"/>
        <v>5.5783417333265835</v>
      </c>
      <c r="C22" s="41">
        <f t="shared" si="11"/>
        <v>25.660371973302283</v>
      </c>
      <c r="D22" s="41">
        <f t="shared" si="12"/>
        <v>4</v>
      </c>
      <c r="E22" s="19">
        <f t="shared" si="0"/>
        <v>0.5346558958818226</v>
      </c>
      <c r="F22" s="46">
        <f t="shared" si="1"/>
        <v>0.07585121535464008</v>
      </c>
      <c r="G22" s="39">
        <f t="shared" si="13"/>
        <v>0.4462673386661266</v>
      </c>
      <c r="H22" s="42">
        <f t="shared" si="14"/>
        <v>45.742402213277984</v>
      </c>
      <c r="I22" s="42">
        <f t="shared" si="15"/>
        <v>18</v>
      </c>
      <c r="J22" s="19">
        <f t="shared" si="2"/>
        <v>3.233789515065202</v>
      </c>
      <c r="K22" s="46">
        <f t="shared" si="3"/>
        <v>0.45877519879254186</v>
      </c>
      <c r="L22" s="39">
        <f>L21*(1+$L$28)+0.001*Auto_Toll!D17+0.01*Auto_Toll!D37</f>
        <v>0.44308423875168884</v>
      </c>
      <c r="M22" s="42">
        <f t="shared" si="16"/>
        <v>47.97373890660862</v>
      </c>
      <c r="N22" s="42">
        <f t="shared" si="17"/>
        <v>5</v>
      </c>
      <c r="O22" s="19">
        <f t="shared" si="4"/>
        <v>1.722153451402667</v>
      </c>
      <c r="P22" s="46">
        <f t="shared" si="5"/>
        <v>0.24432056827996443</v>
      </c>
      <c r="Q22" s="39">
        <v>1.5</v>
      </c>
      <c r="R22" s="42">
        <f t="shared" si="18"/>
        <v>50.20507559993925</v>
      </c>
      <c r="S22" s="42">
        <f t="shared" si="19"/>
        <v>27.891708666632915</v>
      </c>
      <c r="T22" s="19">
        <f t="shared" si="6"/>
        <v>0.5081885848114409</v>
      </c>
      <c r="U22" s="46">
        <f t="shared" si="7"/>
        <v>0.07209631855593066</v>
      </c>
      <c r="V22" s="39">
        <v>0.75</v>
      </c>
      <c r="W22" s="42">
        <f t="shared" si="20"/>
        <v>44</v>
      </c>
      <c r="X22" s="42">
        <f t="shared" si="21"/>
        <v>19</v>
      </c>
      <c r="Y22" s="19">
        <f t="shared" si="8"/>
        <v>1.0499578284689943</v>
      </c>
      <c r="Z22" s="46">
        <f t="shared" si="9"/>
        <v>0.14895669901692293</v>
      </c>
    </row>
    <row r="23" spans="1:26" ht="12.75">
      <c r="A23">
        <v>2017</v>
      </c>
      <c r="B23" s="39">
        <f t="shared" si="10"/>
        <v>5.634125150659849</v>
      </c>
      <c r="C23" s="41">
        <f t="shared" si="11"/>
        <v>25.916975693035305</v>
      </c>
      <c r="D23" s="41">
        <f t="shared" si="12"/>
        <v>4</v>
      </c>
      <c r="E23" s="19">
        <f t="shared" si="0"/>
        <v>0.5104690635390382</v>
      </c>
      <c r="F23" s="46">
        <f t="shared" si="1"/>
        <v>0.07428596971816606</v>
      </c>
      <c r="G23" s="39">
        <f t="shared" si="13"/>
        <v>0.4507300120527879</v>
      </c>
      <c r="H23" s="42">
        <f t="shared" si="14"/>
        <v>46.19982623541076</v>
      </c>
      <c r="I23" s="42">
        <f t="shared" si="15"/>
        <v>18</v>
      </c>
      <c r="J23" s="19">
        <f t="shared" si="2"/>
        <v>3.128398526579797</v>
      </c>
      <c r="K23" s="46">
        <f t="shared" si="3"/>
        <v>0.4552599458244928</v>
      </c>
      <c r="L23" s="39">
        <f>L22*(1+$L$28)+0.001*Auto_Toll!D18+0.01*Auto_Toll!D38</f>
        <v>0.45401508113920575</v>
      </c>
      <c r="M23" s="42">
        <f t="shared" si="16"/>
        <v>48.453476295674704</v>
      </c>
      <c r="N23" s="42">
        <f t="shared" si="17"/>
        <v>5</v>
      </c>
      <c r="O23" s="19">
        <f t="shared" si="4"/>
        <v>1.6735644775527416</v>
      </c>
      <c r="P23" s="46">
        <f t="shared" si="5"/>
        <v>0.24354533698666303</v>
      </c>
      <c r="Q23" s="39">
        <v>1.5</v>
      </c>
      <c r="R23" s="42">
        <f t="shared" si="18"/>
        <v>50.70712635593864</v>
      </c>
      <c r="S23" s="42">
        <f t="shared" si="19"/>
        <v>28.170625753299245</v>
      </c>
      <c r="T23" s="19">
        <f t="shared" si="6"/>
        <v>0.5092854077655311</v>
      </c>
      <c r="U23" s="46">
        <f t="shared" si="7"/>
        <v>0.07411371830622372</v>
      </c>
      <c r="V23" s="39">
        <v>0.75</v>
      </c>
      <c r="W23" s="42">
        <f t="shared" si="20"/>
        <v>44</v>
      </c>
      <c r="X23" s="42">
        <f t="shared" si="21"/>
        <v>19</v>
      </c>
      <c r="Y23" s="19">
        <f t="shared" si="8"/>
        <v>1.0499578284689943</v>
      </c>
      <c r="Z23" s="46">
        <f t="shared" si="9"/>
        <v>0.15279502916445445</v>
      </c>
    </row>
    <row r="24" spans="1:26" ht="12.75">
      <c r="A24">
        <v>2018</v>
      </c>
      <c r="B24" s="39">
        <f t="shared" si="10"/>
        <v>5.6904664021664475</v>
      </c>
      <c r="C24" s="41">
        <f t="shared" si="11"/>
        <v>26.17614544996566</v>
      </c>
      <c r="D24" s="41">
        <f t="shared" si="12"/>
        <v>4</v>
      </c>
      <c r="E24" s="19">
        <f t="shared" si="0"/>
        <v>0.48715082773992285</v>
      </c>
      <c r="F24" s="46">
        <f t="shared" si="1"/>
        <v>0.07349580873486182</v>
      </c>
      <c r="G24" s="39">
        <f t="shared" si="13"/>
        <v>0.45523731217331576</v>
      </c>
      <c r="H24" s="42">
        <f t="shared" si="14"/>
        <v>46.66182449776487</v>
      </c>
      <c r="I24" s="42">
        <f t="shared" si="15"/>
        <v>18</v>
      </c>
      <c r="J24" s="19">
        <f t="shared" si="2"/>
        <v>3.0254396899530174</v>
      </c>
      <c r="K24" s="46">
        <f t="shared" si="3"/>
        <v>0.4564441321453677</v>
      </c>
      <c r="L24" s="39">
        <f>L23*(1+$L$28)+0.001*Auto_Toll!D19+0.01*Auto_Toll!D39</f>
        <v>0.46505523195059784</v>
      </c>
      <c r="M24" s="42">
        <f t="shared" si="16"/>
        <v>48.93801105863145</v>
      </c>
      <c r="N24" s="42">
        <f t="shared" si="17"/>
        <v>5</v>
      </c>
      <c r="O24" s="19">
        <f t="shared" si="4"/>
        <v>1.625881007269199</v>
      </c>
      <c r="P24" s="46">
        <f t="shared" si="5"/>
        <v>0.24529454274005058</v>
      </c>
      <c r="Q24" s="39">
        <v>1.75</v>
      </c>
      <c r="R24" s="42">
        <f t="shared" si="18"/>
        <v>51.21419761949803</v>
      </c>
      <c r="S24" s="42">
        <f t="shared" si="19"/>
        <v>28.452332010832237</v>
      </c>
      <c r="T24" s="19">
        <f t="shared" si="6"/>
        <v>0.43985103596267605</v>
      </c>
      <c r="U24" s="46">
        <f t="shared" si="7"/>
        <v>0.06635975096444323</v>
      </c>
      <c r="V24" s="39">
        <v>0.75</v>
      </c>
      <c r="W24" s="42">
        <f t="shared" si="20"/>
        <v>44</v>
      </c>
      <c r="X24" s="42">
        <f t="shared" si="21"/>
        <v>19</v>
      </c>
      <c r="Y24" s="19">
        <f t="shared" si="8"/>
        <v>1.0499578284689943</v>
      </c>
      <c r="Z24" s="46">
        <f t="shared" si="9"/>
        <v>0.15840576541527665</v>
      </c>
    </row>
    <row r="25" spans="1:26" ht="12.75">
      <c r="A25">
        <v>2019</v>
      </c>
      <c r="B25" s="39">
        <f t="shared" si="10"/>
        <v>5.747371066188112</v>
      </c>
      <c r="C25" s="41">
        <f t="shared" si="11"/>
        <v>26.437906904465315</v>
      </c>
      <c r="D25" s="41">
        <f t="shared" si="12"/>
        <v>4</v>
      </c>
      <c r="E25" s="19">
        <f t="shared" si="0"/>
        <v>0.46468045139638325</v>
      </c>
      <c r="F25" s="46">
        <f t="shared" si="1"/>
        <v>0.07193810841447948</v>
      </c>
      <c r="G25" s="39">
        <f t="shared" si="13"/>
        <v>0.45978968529504893</v>
      </c>
      <c r="H25" s="42">
        <f t="shared" si="14"/>
        <v>47.128442742742514</v>
      </c>
      <c r="I25" s="42">
        <f t="shared" si="15"/>
        <v>18</v>
      </c>
      <c r="J25" s="19">
        <f t="shared" si="2"/>
        <v>2.924890363158618</v>
      </c>
      <c r="K25" s="46">
        <f t="shared" si="3"/>
        <v>0.45280811665968995</v>
      </c>
      <c r="L25" s="39">
        <f>L24*(1+$L$28)+0.001*Auto_Toll!D20+0.01*Auto_Toll!D40</f>
        <v>0.47620578427010385</v>
      </c>
      <c r="M25" s="42">
        <f t="shared" si="16"/>
        <v>49.42739116921777</v>
      </c>
      <c r="N25" s="42">
        <f t="shared" si="17"/>
        <v>5</v>
      </c>
      <c r="O25" s="19">
        <f t="shared" si="4"/>
        <v>1.5790996225444378</v>
      </c>
      <c r="P25" s="46">
        <f t="shared" si="5"/>
        <v>0.24446356523606827</v>
      </c>
      <c r="Q25" s="39">
        <v>1.75</v>
      </c>
      <c r="R25" s="42">
        <f t="shared" si="18"/>
        <v>51.72633959569301</v>
      </c>
      <c r="S25" s="42">
        <f t="shared" si="19"/>
        <v>28.73685533094056</v>
      </c>
      <c r="T25" s="19">
        <f t="shared" si="6"/>
        <v>0.4408194685737369</v>
      </c>
      <c r="U25" s="46">
        <f t="shared" si="7"/>
        <v>0.06824414202529015</v>
      </c>
      <c r="V25" s="39">
        <v>0.75</v>
      </c>
      <c r="W25" s="42">
        <f t="shared" si="20"/>
        <v>44</v>
      </c>
      <c r="X25" s="42">
        <f t="shared" si="21"/>
        <v>19</v>
      </c>
      <c r="Y25" s="19">
        <f t="shared" si="8"/>
        <v>1.0499578284689943</v>
      </c>
      <c r="Z25" s="46">
        <f t="shared" si="9"/>
        <v>0.16254606766447213</v>
      </c>
    </row>
    <row r="26" spans="1:26" ht="13.5" thickBot="1">
      <c r="A26">
        <v>2020</v>
      </c>
      <c r="B26" s="40">
        <f t="shared" si="10"/>
        <v>5.804844776849993</v>
      </c>
      <c r="C26" s="43">
        <f t="shared" si="11"/>
        <v>26.70228597350997</v>
      </c>
      <c r="D26" s="43">
        <f t="shared" si="12"/>
        <v>4</v>
      </c>
      <c r="E26" s="47">
        <f t="shared" si="0"/>
        <v>0.4430372777607445</v>
      </c>
      <c r="F26" s="48">
        <f t="shared" si="1"/>
        <v>0.07038266636213213</v>
      </c>
      <c r="G26" s="40">
        <f t="shared" si="13"/>
        <v>0.4643875821479994</v>
      </c>
      <c r="H26" s="44">
        <f t="shared" si="14"/>
        <v>47.59972717016994</v>
      </c>
      <c r="I26" s="44">
        <f t="shared" si="15"/>
        <v>18</v>
      </c>
      <c r="J26" s="47">
        <f t="shared" si="2"/>
        <v>2.826727175330515</v>
      </c>
      <c r="K26" s="48">
        <f t="shared" si="3"/>
        <v>0.4490651366486165</v>
      </c>
      <c r="L26" s="40">
        <f>L25*(1+$L$28)+0.001*Auto_Toll!D21+0.01*Auto_Toll!D41</f>
        <v>0.4875178421128049</v>
      </c>
      <c r="M26" s="44">
        <f t="shared" si="16"/>
        <v>49.921665080909946</v>
      </c>
      <c r="N26" s="44">
        <f t="shared" si="17"/>
        <v>5</v>
      </c>
      <c r="O26" s="47">
        <f t="shared" si="4"/>
        <v>1.5331709755547969</v>
      </c>
      <c r="P26" s="48">
        <f t="shared" si="5"/>
        <v>0.2435656471030691</v>
      </c>
      <c r="Q26" s="40">
        <v>1.75</v>
      </c>
      <c r="R26" s="44">
        <f t="shared" si="18"/>
        <v>52.243602991649944</v>
      </c>
      <c r="S26" s="44">
        <f t="shared" si="19"/>
        <v>29.024223884249967</v>
      </c>
      <c r="T26" s="47">
        <f t="shared" si="6"/>
        <v>0.44179974984257075</v>
      </c>
      <c r="U26" s="48">
        <f t="shared" si="7"/>
        <v>0.07018606774853717</v>
      </c>
      <c r="V26" s="40">
        <v>0.75</v>
      </c>
      <c r="W26" s="44">
        <f t="shared" si="20"/>
        <v>44</v>
      </c>
      <c r="X26" s="44">
        <f t="shared" si="21"/>
        <v>19</v>
      </c>
      <c r="Y26" s="47">
        <f t="shared" si="8"/>
        <v>1.0499578284689943</v>
      </c>
      <c r="Z26" s="48">
        <f t="shared" si="9"/>
        <v>0.16680048213764512</v>
      </c>
    </row>
    <row r="28" spans="2:24" ht="12.75">
      <c r="B28">
        <v>0.01</v>
      </c>
      <c r="C28">
        <v>0.01</v>
      </c>
      <c r="D28">
        <v>0</v>
      </c>
      <c r="G28">
        <v>0.01</v>
      </c>
      <c r="H28">
        <v>0.01</v>
      </c>
      <c r="I28">
        <v>0</v>
      </c>
      <c r="L28">
        <v>0.01</v>
      </c>
      <c r="M28">
        <v>0.01</v>
      </c>
      <c r="N28">
        <v>0</v>
      </c>
      <c r="R28">
        <v>0.01</v>
      </c>
      <c r="S28">
        <v>0.01</v>
      </c>
      <c r="W28">
        <v>0</v>
      </c>
      <c r="X2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6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15.421875" style="0" customWidth="1"/>
    <col min="2" max="2" width="12.28125" style="7" customWidth="1"/>
    <col min="3" max="3" width="20.421875" style="0" customWidth="1"/>
    <col min="4" max="4" width="12.28125" style="0" customWidth="1"/>
    <col min="5" max="5" width="14.8515625" style="0" customWidth="1"/>
    <col min="6" max="6" width="15.140625" style="0" customWidth="1"/>
    <col min="7" max="7" width="7.28125" style="0" customWidth="1"/>
    <col min="8" max="12" width="8.7109375" style="0" customWidth="1"/>
    <col min="13" max="17" width="12.57421875" style="0" customWidth="1"/>
    <col min="21" max="23" width="18.28125" style="0" customWidth="1"/>
  </cols>
  <sheetData>
    <row r="1" spans="1:2" ht="12.75">
      <c r="A1" t="s">
        <v>15</v>
      </c>
      <c r="B1" s="7">
        <v>17500000</v>
      </c>
    </row>
    <row r="2" spans="1:2" ht="12.75">
      <c r="A2" t="s">
        <v>16</v>
      </c>
      <c r="B2" s="9">
        <v>0.015</v>
      </c>
    </row>
    <row r="3" ht="12.75">
      <c r="B3" s="10"/>
    </row>
    <row r="5" spans="1:17" ht="12.75">
      <c r="A5" s="50" t="s">
        <v>0</v>
      </c>
      <c r="B5" s="98" t="s">
        <v>14</v>
      </c>
      <c r="C5" s="50" t="s">
        <v>13</v>
      </c>
      <c r="D5" s="50" t="s">
        <v>35</v>
      </c>
      <c r="E5" s="50" t="s">
        <v>36</v>
      </c>
      <c r="F5" s="50" t="s">
        <v>18</v>
      </c>
      <c r="G5" s="50" t="s">
        <v>2</v>
      </c>
      <c r="H5" s="158" t="s">
        <v>24</v>
      </c>
      <c r="I5" s="158"/>
      <c r="J5" s="158"/>
      <c r="K5" s="158"/>
      <c r="L5" s="158"/>
      <c r="M5" s="50" t="s">
        <v>31</v>
      </c>
      <c r="N5" s="50"/>
      <c r="O5" s="50"/>
      <c r="P5" s="50"/>
      <c r="Q5" s="50"/>
    </row>
    <row r="6" spans="1:17" ht="12.75">
      <c r="A6" s="50"/>
      <c r="B6" s="98"/>
      <c r="C6" s="99"/>
      <c r="D6" s="99"/>
      <c r="E6" s="99"/>
      <c r="F6" s="99"/>
      <c r="G6" s="99"/>
      <c r="H6" s="99" t="s">
        <v>4</v>
      </c>
      <c r="I6" s="99" t="s">
        <v>5</v>
      </c>
      <c r="J6" s="99" t="s">
        <v>6</v>
      </c>
      <c r="K6" s="99" t="s">
        <v>7</v>
      </c>
      <c r="L6" s="99" t="s">
        <v>8</v>
      </c>
      <c r="M6" s="99" t="s">
        <v>4</v>
      </c>
      <c r="N6" s="99" t="s">
        <v>5</v>
      </c>
      <c r="O6" s="99" t="s">
        <v>6</v>
      </c>
      <c r="P6" s="99" t="s">
        <v>7</v>
      </c>
      <c r="Q6" s="99" t="s">
        <v>8</v>
      </c>
    </row>
    <row r="7" spans="1:18" ht="12.75">
      <c r="A7" s="67" t="s">
        <v>9</v>
      </c>
      <c r="B7" s="68">
        <f>$B$1</f>
        <v>17500000</v>
      </c>
      <c r="C7" s="69">
        <f>Mode_Shares!F11</f>
        <v>0.08556625932704215</v>
      </c>
      <c r="D7" s="70">
        <v>1.09</v>
      </c>
      <c r="E7" s="71">
        <f aca="true" t="shared" si="0" ref="E7:E22">F87*C7</f>
        <v>7512522905.674332</v>
      </c>
      <c r="F7" s="71">
        <f aca="true" t="shared" si="1" ref="F7:F38">E7/D7</f>
        <v>6892222849.242506</v>
      </c>
      <c r="G7" s="70">
        <v>2005</v>
      </c>
      <c r="H7" s="72">
        <v>2.89</v>
      </c>
      <c r="I7" s="72">
        <v>33.35</v>
      </c>
      <c r="J7" s="72">
        <v>1.37</v>
      </c>
      <c r="K7" s="69">
        <v>0.029</v>
      </c>
      <c r="L7" s="73">
        <v>0.09605</v>
      </c>
      <c r="M7" s="70">
        <f>H7*$F7</f>
        <v>19918524034.310844</v>
      </c>
      <c r="N7" s="70">
        <f>I7*$F7</f>
        <v>229855632022.23758</v>
      </c>
      <c r="O7" s="70">
        <f>J7*$F7</f>
        <v>9442345303.462234</v>
      </c>
      <c r="P7" s="70">
        <f>K7*$F7</f>
        <v>199874462.62803268</v>
      </c>
      <c r="Q7" s="70">
        <f>L7*$F7</f>
        <v>661998004.6697427</v>
      </c>
      <c r="R7" s="67"/>
    </row>
    <row r="8" spans="1:18" ht="12.75">
      <c r="A8" s="67" t="s">
        <v>9</v>
      </c>
      <c r="B8" s="68">
        <f>B7*(1+$B$2)</f>
        <v>17762500</v>
      </c>
      <c r="C8" s="69">
        <f>Mode_Shares!F12</f>
        <v>0.08648731079958993</v>
      </c>
      <c r="D8" s="70">
        <v>1.09</v>
      </c>
      <c r="E8" s="71">
        <f t="shared" si="0"/>
        <v>7790817246.940797</v>
      </c>
      <c r="F8" s="71">
        <f t="shared" si="1"/>
        <v>7147538758.661281</v>
      </c>
      <c r="G8" s="70">
        <v>2006</v>
      </c>
      <c r="H8" s="74">
        <f>H7*$R8</f>
        <v>2.7744</v>
      </c>
      <c r="I8" s="74">
        <f aca="true" t="shared" si="2" ref="I8:L22">I7*$R8</f>
        <v>32.016</v>
      </c>
      <c r="J8" s="74">
        <f t="shared" si="2"/>
        <v>1.3152000000000001</v>
      </c>
      <c r="K8" s="75">
        <f t="shared" si="2"/>
        <v>0.02784</v>
      </c>
      <c r="L8" s="76">
        <f t="shared" si="2"/>
        <v>0.092208</v>
      </c>
      <c r="M8" s="70">
        <f aca="true" t="shared" si="3" ref="M8:M71">H8*$F8</f>
        <v>19830131532.029858</v>
      </c>
      <c r="N8" s="70">
        <f aca="true" t="shared" si="4" ref="N8:N71">I8*$F8</f>
        <v>228835600897.29956</v>
      </c>
      <c r="O8" s="70">
        <f aca="true" t="shared" si="5" ref="O8:O71">J8*$F8</f>
        <v>9400442975.391317</v>
      </c>
      <c r="P8" s="70">
        <f aca="true" t="shared" si="6" ref="P8:P71">K8*$F8</f>
        <v>198987479.04113007</v>
      </c>
      <c r="Q8" s="70">
        <f aca="true" t="shared" si="7" ref="Q8:Q71">L8*$F8</f>
        <v>659060253.8586394</v>
      </c>
      <c r="R8" s="67">
        <v>0.96</v>
      </c>
    </row>
    <row r="9" spans="1:18" ht="12.75">
      <c r="A9" s="67" t="s">
        <v>9</v>
      </c>
      <c r="B9" s="68">
        <f aca="true" t="shared" si="8" ref="B9:B22">B8*(1+$B$2)</f>
        <v>18028937.5</v>
      </c>
      <c r="C9" s="69">
        <f>Mode_Shares!F13</f>
        <v>0.08489506008995872</v>
      </c>
      <c r="D9" s="70">
        <v>1.09</v>
      </c>
      <c r="E9" s="71">
        <f t="shared" si="0"/>
        <v>7846218611.860172</v>
      </c>
      <c r="F9" s="71">
        <f t="shared" si="1"/>
        <v>7198365698.954286</v>
      </c>
      <c r="G9" s="70">
        <v>2007</v>
      </c>
      <c r="H9" s="74">
        <f aca="true" t="shared" si="9" ref="H9:H22">H8*$R9</f>
        <v>2.663424</v>
      </c>
      <c r="I9" s="74">
        <f t="shared" si="2"/>
        <v>30.735359999999996</v>
      </c>
      <c r="J9" s="74">
        <f t="shared" si="2"/>
        <v>1.2625920000000002</v>
      </c>
      <c r="K9" s="75">
        <f t="shared" si="2"/>
        <v>0.0267264</v>
      </c>
      <c r="L9" s="76">
        <f t="shared" si="2"/>
        <v>0.08851967999999999</v>
      </c>
      <c r="M9" s="70">
        <f t="shared" si="3"/>
        <v>19172299963.37162</v>
      </c>
      <c r="N9" s="70">
        <f t="shared" si="4"/>
        <v>221244361169.01157</v>
      </c>
      <c r="O9" s="70">
        <f t="shared" si="5"/>
        <v>9088598944.574091</v>
      </c>
      <c r="P9" s="70">
        <f t="shared" si="6"/>
        <v>192386401.01653183</v>
      </c>
      <c r="Q9" s="70">
        <f t="shared" si="7"/>
        <v>637197028.1944096</v>
      </c>
      <c r="R9" s="67">
        <v>0.96</v>
      </c>
    </row>
    <row r="10" spans="1:18" ht="12.75">
      <c r="A10" s="67" t="s">
        <v>9</v>
      </c>
      <c r="B10" s="68">
        <f t="shared" si="8"/>
        <v>18299371.5625</v>
      </c>
      <c r="C10" s="69">
        <f>Mode_Shares!F14</f>
        <v>0.0833014532378472</v>
      </c>
      <c r="D10" s="70">
        <v>1.09</v>
      </c>
      <c r="E10" s="71">
        <f t="shared" si="0"/>
        <v>7741123545.180404</v>
      </c>
      <c r="F10" s="71">
        <f t="shared" si="1"/>
        <v>7101948206.587525</v>
      </c>
      <c r="G10" s="70">
        <v>2008</v>
      </c>
      <c r="H10" s="74">
        <f t="shared" si="9"/>
        <v>2.55688704</v>
      </c>
      <c r="I10" s="74">
        <f t="shared" si="2"/>
        <v>29.505945599999997</v>
      </c>
      <c r="J10" s="74">
        <f t="shared" si="2"/>
        <v>1.21208832</v>
      </c>
      <c r="K10" s="75">
        <f t="shared" si="2"/>
        <v>0.025657344</v>
      </c>
      <c r="L10" s="76">
        <f t="shared" si="2"/>
        <v>0.08497889279999998</v>
      </c>
      <c r="M10" s="70">
        <f t="shared" si="3"/>
        <v>18158879328.174885</v>
      </c>
      <c r="N10" s="70">
        <f t="shared" si="4"/>
        <v>209549697437.58905</v>
      </c>
      <c r="O10" s="70">
        <f t="shared" si="5"/>
        <v>8608188470.449688</v>
      </c>
      <c r="P10" s="70">
        <f t="shared" si="6"/>
        <v>182217128.2065992</v>
      </c>
      <c r="Q10" s="70">
        <f t="shared" si="7"/>
        <v>603515695.3187535</v>
      </c>
      <c r="R10" s="67">
        <v>0.96</v>
      </c>
    </row>
    <row r="11" spans="1:18" ht="12.75">
      <c r="A11" s="67" t="s">
        <v>9</v>
      </c>
      <c r="B11" s="68">
        <f t="shared" si="8"/>
        <v>18573862.135937497</v>
      </c>
      <c r="C11" s="69">
        <f>Mode_Shares!F15</f>
        <v>0.08170687603870494</v>
      </c>
      <c r="D11" s="70">
        <v>1.09</v>
      </c>
      <c r="E11" s="71">
        <f t="shared" si="0"/>
        <v>7790357493.800329</v>
      </c>
      <c r="F11" s="71">
        <f t="shared" si="1"/>
        <v>7147116966.789292</v>
      </c>
      <c r="G11" s="70">
        <v>2009</v>
      </c>
      <c r="H11" s="74">
        <f t="shared" si="9"/>
        <v>2.4546115584</v>
      </c>
      <c r="I11" s="74">
        <f t="shared" si="2"/>
        <v>28.325707775999994</v>
      </c>
      <c r="J11" s="74">
        <f t="shared" si="2"/>
        <v>1.1636047872000002</v>
      </c>
      <c r="K11" s="75">
        <f t="shared" si="2"/>
        <v>0.024631050239999997</v>
      </c>
      <c r="L11" s="76">
        <f t="shared" si="2"/>
        <v>0.08157973708799998</v>
      </c>
      <c r="M11" s="70">
        <f t="shared" si="3"/>
        <v>17543395915.917744</v>
      </c>
      <c r="N11" s="70">
        <f t="shared" si="4"/>
        <v>202447146642.16495</v>
      </c>
      <c r="O11" s="70">
        <f t="shared" si="5"/>
        <v>8316419517.234365</v>
      </c>
      <c r="P11" s="70">
        <f t="shared" si="6"/>
        <v>176040997.08014345</v>
      </c>
      <c r="Q11" s="70">
        <f t="shared" si="7"/>
        <v>583059923.0878544</v>
      </c>
      <c r="R11" s="67">
        <v>0.96</v>
      </c>
    </row>
    <row r="12" spans="1:18" ht="12.75">
      <c r="A12" s="67" t="s">
        <v>9</v>
      </c>
      <c r="B12" s="68">
        <f t="shared" si="8"/>
        <v>18852470.067976557</v>
      </c>
      <c r="C12" s="69">
        <f>Mode_Shares!F16</f>
        <v>0.08011173207284322</v>
      </c>
      <c r="D12" s="70">
        <v>1.09</v>
      </c>
      <c r="E12" s="71">
        <f t="shared" si="0"/>
        <v>7758494533.104282</v>
      </c>
      <c r="F12" s="71">
        <f t="shared" si="1"/>
        <v>7117884892.756222</v>
      </c>
      <c r="G12" s="70">
        <v>2010</v>
      </c>
      <c r="H12" s="74">
        <f t="shared" si="9"/>
        <v>2.356427096064</v>
      </c>
      <c r="I12" s="74">
        <f t="shared" si="2"/>
        <v>27.192679464959994</v>
      </c>
      <c r="J12" s="74">
        <f t="shared" si="2"/>
        <v>1.1170605957120001</v>
      </c>
      <c r="K12" s="75">
        <f t="shared" si="2"/>
        <v>0.023645808230399995</v>
      </c>
      <c r="L12" s="76">
        <f t="shared" si="2"/>
        <v>0.07831654760447998</v>
      </c>
      <c r="M12" s="70">
        <f t="shared" si="3"/>
        <v>16772776827.955359</v>
      </c>
      <c r="N12" s="70">
        <f t="shared" si="4"/>
        <v>193554362357.20108</v>
      </c>
      <c r="O12" s="70">
        <f t="shared" si="5"/>
        <v>7951108738.511711</v>
      </c>
      <c r="P12" s="70">
        <f t="shared" si="6"/>
        <v>168308141.18017486</v>
      </c>
      <c r="Q12" s="70">
        <f t="shared" si="7"/>
        <v>557448171.0467515</v>
      </c>
      <c r="R12" s="67">
        <v>0.96</v>
      </c>
    </row>
    <row r="13" spans="1:18" ht="12.75">
      <c r="A13" s="67" t="s">
        <v>9</v>
      </c>
      <c r="B13" s="68">
        <f t="shared" si="8"/>
        <v>19135257.118996203</v>
      </c>
      <c r="C13" s="69">
        <f>Mode_Shares!F17</f>
        <v>0.0809250465004406</v>
      </c>
      <c r="D13" s="70">
        <v>1.09</v>
      </c>
      <c r="E13" s="71">
        <f t="shared" si="0"/>
        <v>8041029497.173157</v>
      </c>
      <c r="F13" s="71">
        <f t="shared" si="1"/>
        <v>7377091281.810235</v>
      </c>
      <c r="G13" s="70">
        <v>2011</v>
      </c>
      <c r="H13" s="74">
        <f t="shared" si="9"/>
        <v>2.14434865741824</v>
      </c>
      <c r="I13" s="74">
        <f t="shared" si="2"/>
        <v>24.745338313113596</v>
      </c>
      <c r="J13" s="74">
        <f t="shared" si="2"/>
        <v>1.0165251420979202</v>
      </c>
      <c r="K13" s="75">
        <f t="shared" si="2"/>
        <v>0.021517685489663995</v>
      </c>
      <c r="L13" s="76">
        <f t="shared" si="2"/>
        <v>0.07126805832007678</v>
      </c>
      <c r="M13" s="70">
        <f t="shared" si="3"/>
        <v>15819055785.801582</v>
      </c>
      <c r="N13" s="70">
        <f t="shared" si="4"/>
        <v>182548619535.11508</v>
      </c>
      <c r="O13" s="70">
        <f t="shared" si="5"/>
        <v>7498998763.511477</v>
      </c>
      <c r="P13" s="70">
        <f t="shared" si="6"/>
        <v>158737930.03053486</v>
      </c>
      <c r="Q13" s="70">
        <f t="shared" si="7"/>
        <v>525750971.7045818</v>
      </c>
      <c r="R13" s="67">
        <v>0.91</v>
      </c>
    </row>
    <row r="14" spans="1:18" ht="12.75">
      <c r="A14" s="67" t="s">
        <v>9</v>
      </c>
      <c r="B14" s="68">
        <f t="shared" si="8"/>
        <v>19422285.975781143</v>
      </c>
      <c r="C14" s="69">
        <f>Mode_Shares!F18</f>
        <v>0.07934180000458925</v>
      </c>
      <c r="D14" s="70">
        <v>1.09</v>
      </c>
      <c r="E14" s="71">
        <f t="shared" si="0"/>
        <v>8088688435.924967</v>
      </c>
      <c r="F14" s="71">
        <f t="shared" si="1"/>
        <v>7420815078.830244</v>
      </c>
      <c r="G14" s="70">
        <v>2012</v>
      </c>
      <c r="H14" s="74">
        <f t="shared" si="9"/>
        <v>1.9513572782505986</v>
      </c>
      <c r="I14" s="74">
        <f t="shared" si="2"/>
        <v>22.51825786493337</v>
      </c>
      <c r="J14" s="74">
        <f t="shared" si="2"/>
        <v>0.9250378793091074</v>
      </c>
      <c r="K14" s="75">
        <f t="shared" si="2"/>
        <v>0.019581093795594237</v>
      </c>
      <c r="L14" s="76">
        <f t="shared" si="2"/>
        <v>0.06485393307126987</v>
      </c>
      <c r="M14" s="70">
        <f t="shared" si="3"/>
        <v>14480661514.627186</v>
      </c>
      <c r="N14" s="70">
        <f t="shared" si="4"/>
        <v>167103827513.0853</v>
      </c>
      <c r="O14" s="70">
        <f t="shared" si="5"/>
        <v>6864535043.266175</v>
      </c>
      <c r="P14" s="70">
        <f t="shared" si="6"/>
        <v>145307676.09833506</v>
      </c>
      <c r="Q14" s="70">
        <f t="shared" si="7"/>
        <v>481269044.45672685</v>
      </c>
      <c r="R14" s="67">
        <v>0.91</v>
      </c>
    </row>
    <row r="15" spans="1:18" ht="12.75">
      <c r="A15" s="67" t="s">
        <v>9</v>
      </c>
      <c r="B15" s="68">
        <f t="shared" si="8"/>
        <v>19713620.26541786</v>
      </c>
      <c r="C15" s="69">
        <f>Mode_Shares!F19</f>
        <v>0.07775844279869677</v>
      </c>
      <c r="D15" s="70">
        <v>1.09</v>
      </c>
      <c r="E15" s="71">
        <f t="shared" si="0"/>
        <v>8133378323.501869</v>
      </c>
      <c r="F15" s="71">
        <f t="shared" si="1"/>
        <v>7461814975.689788</v>
      </c>
      <c r="G15" s="67">
        <v>2013</v>
      </c>
      <c r="H15" s="74">
        <f t="shared" si="9"/>
        <v>1.7757351232080447</v>
      </c>
      <c r="I15" s="74">
        <f t="shared" si="2"/>
        <v>20.491614657089368</v>
      </c>
      <c r="J15" s="74">
        <f t="shared" si="2"/>
        <v>0.8417844701712878</v>
      </c>
      <c r="K15" s="75">
        <f t="shared" si="2"/>
        <v>0.017818795353990755</v>
      </c>
      <c r="L15" s="76">
        <f t="shared" si="2"/>
        <v>0.05901707909485558</v>
      </c>
      <c r="M15" s="70">
        <f t="shared" si="3"/>
        <v>13250206935.21214</v>
      </c>
      <c r="N15" s="70">
        <f t="shared" si="4"/>
        <v>152904637124.3338</v>
      </c>
      <c r="O15" s="70">
        <f t="shared" si="5"/>
        <v>6281239965.8272085</v>
      </c>
      <c r="P15" s="70">
        <f t="shared" si="6"/>
        <v>132960554.02115983</v>
      </c>
      <c r="Q15" s="70">
        <f t="shared" si="7"/>
        <v>440374524.6114621</v>
      </c>
      <c r="R15" s="67">
        <v>0.91</v>
      </c>
    </row>
    <row r="16" spans="1:18" ht="12.75">
      <c r="A16" s="67" t="s">
        <v>9</v>
      </c>
      <c r="B16" s="68">
        <f t="shared" si="8"/>
        <v>20009324.569399126</v>
      </c>
      <c r="C16" s="69">
        <f>Mode_Shares!F20</f>
        <v>0.07617539978422765</v>
      </c>
      <c r="D16" s="70">
        <v>1.09</v>
      </c>
      <c r="E16" s="71">
        <f t="shared" si="0"/>
        <v>8174957850.106242</v>
      </c>
      <c r="F16" s="71">
        <f t="shared" si="1"/>
        <v>7499961330.372699</v>
      </c>
      <c r="G16" s="67">
        <v>2014</v>
      </c>
      <c r="H16" s="74">
        <f t="shared" si="9"/>
        <v>1.6159189621193208</v>
      </c>
      <c r="I16" s="74">
        <f t="shared" si="2"/>
        <v>18.647369337951325</v>
      </c>
      <c r="J16" s="74">
        <f t="shared" si="2"/>
        <v>0.7660238678558718</v>
      </c>
      <c r="K16" s="75">
        <f t="shared" si="2"/>
        <v>0.01621510377213159</v>
      </c>
      <c r="L16" s="76">
        <f t="shared" si="2"/>
        <v>0.053705541976318584</v>
      </c>
      <c r="M16" s="70">
        <f t="shared" si="3"/>
        <v>12119329728.910892</v>
      </c>
      <c r="N16" s="70">
        <f t="shared" si="4"/>
        <v>139854548947.8125</v>
      </c>
      <c r="O16" s="70">
        <f t="shared" si="5"/>
        <v>5745149387.061565</v>
      </c>
      <c r="P16" s="70">
        <f t="shared" si="6"/>
        <v>121612651.2589674</v>
      </c>
      <c r="Q16" s="70">
        <f t="shared" si="7"/>
        <v>402789488.0490971</v>
      </c>
      <c r="R16" s="67">
        <v>0.91</v>
      </c>
    </row>
    <row r="17" spans="1:18" ht="12.75">
      <c r="A17" s="67" t="s">
        <v>9</v>
      </c>
      <c r="B17" s="68">
        <f t="shared" si="8"/>
        <v>20309464.43794011</v>
      </c>
      <c r="C17" s="69">
        <f>Mode_Shares!F21</f>
        <v>0.07459311490032598</v>
      </c>
      <c r="D17" s="70">
        <v>1.09</v>
      </c>
      <c r="E17" s="71">
        <f t="shared" si="0"/>
        <v>8213284824.446899</v>
      </c>
      <c r="F17" s="71">
        <f t="shared" si="1"/>
        <v>7535123692.153118</v>
      </c>
      <c r="G17" s="67">
        <v>2015</v>
      </c>
      <c r="H17" s="74">
        <f t="shared" si="9"/>
        <v>1.470486255528582</v>
      </c>
      <c r="I17" s="74">
        <f t="shared" si="2"/>
        <v>16.969106097535708</v>
      </c>
      <c r="J17" s="74">
        <f t="shared" si="2"/>
        <v>0.6970817197488434</v>
      </c>
      <c r="K17" s="75">
        <f t="shared" si="2"/>
        <v>0.014755744432639746</v>
      </c>
      <c r="L17" s="76">
        <f t="shared" si="2"/>
        <v>0.04887204319844991</v>
      </c>
      <c r="M17" s="70">
        <f t="shared" si="3"/>
        <v>11080295823.018942</v>
      </c>
      <c r="N17" s="70">
        <f t="shared" si="4"/>
        <v>127864313390.20125</v>
      </c>
      <c r="O17" s="70">
        <f t="shared" si="5"/>
        <v>5252596981.84635</v>
      </c>
      <c r="P17" s="70">
        <f t="shared" si="6"/>
        <v>111186359.46974023</v>
      </c>
      <c r="Q17" s="70">
        <f t="shared" si="7"/>
        <v>368256890.5885706</v>
      </c>
      <c r="R17" s="67">
        <v>0.91</v>
      </c>
    </row>
    <row r="18" spans="1:18" ht="12.75">
      <c r="A18" s="67" t="s">
        <v>9</v>
      </c>
      <c r="B18" s="68">
        <f t="shared" si="8"/>
        <v>20614106.40450921</v>
      </c>
      <c r="C18" s="69">
        <f>Mode_Shares!F22</f>
        <v>0.07585121535464008</v>
      </c>
      <c r="D18" s="70">
        <v>1.09</v>
      </c>
      <c r="E18" s="71">
        <f t="shared" si="0"/>
        <v>8568958614.718163</v>
      </c>
      <c r="F18" s="71">
        <f t="shared" si="1"/>
        <v>7861429921.759782</v>
      </c>
      <c r="G18" s="67">
        <v>2016</v>
      </c>
      <c r="H18" s="74">
        <f t="shared" si="9"/>
        <v>1.382257080196867</v>
      </c>
      <c r="I18" s="74">
        <f t="shared" si="2"/>
        <v>15.950959731683565</v>
      </c>
      <c r="J18" s="74">
        <f t="shared" si="2"/>
        <v>0.6552568165639128</v>
      </c>
      <c r="K18" s="75">
        <f t="shared" si="2"/>
        <v>0.013870399766681361</v>
      </c>
      <c r="L18" s="76">
        <f t="shared" si="2"/>
        <v>0.045939720606542916</v>
      </c>
      <c r="M18" s="70">
        <f t="shared" si="3"/>
        <v>10866517169.823961</v>
      </c>
      <c r="N18" s="70">
        <f t="shared" si="4"/>
        <v>125397352115.44255</v>
      </c>
      <c r="O18" s="70">
        <f t="shared" si="5"/>
        <v>5151255544.172605</v>
      </c>
      <c r="P18" s="70">
        <f t="shared" si="6"/>
        <v>109041175.75255875</v>
      </c>
      <c r="Q18" s="70">
        <f t="shared" si="7"/>
        <v>361151894.1735609</v>
      </c>
      <c r="R18" s="67">
        <v>0.94</v>
      </c>
    </row>
    <row r="19" spans="1:18" ht="12.75">
      <c r="A19" s="67" t="s">
        <v>9</v>
      </c>
      <c r="B19" s="68">
        <f t="shared" si="8"/>
        <v>20923318.000576846</v>
      </c>
      <c r="C19" s="69">
        <f>Mode_Shares!F23</f>
        <v>0.07428596971816606</v>
      </c>
      <c r="D19" s="70">
        <v>1.09</v>
      </c>
      <c r="E19" s="71">
        <f t="shared" si="0"/>
        <v>8610327277.157036</v>
      </c>
      <c r="F19" s="71">
        <f t="shared" si="1"/>
        <v>7899382823.079849</v>
      </c>
      <c r="G19" s="67">
        <v>2017</v>
      </c>
      <c r="H19" s="74">
        <f t="shared" si="9"/>
        <v>1.2993216553850548</v>
      </c>
      <c r="I19" s="74">
        <f t="shared" si="2"/>
        <v>14.99390214778255</v>
      </c>
      <c r="J19" s="74">
        <f t="shared" si="2"/>
        <v>0.615941407570078</v>
      </c>
      <c r="K19" s="75">
        <f t="shared" si="2"/>
        <v>0.01303817578068048</v>
      </c>
      <c r="L19" s="76">
        <f t="shared" si="2"/>
        <v>0.043183337370150336</v>
      </c>
      <c r="M19" s="70">
        <f t="shared" si="3"/>
        <v>10263839166.204378</v>
      </c>
      <c r="N19" s="70">
        <f t="shared" si="4"/>
        <v>118442573077.13353</v>
      </c>
      <c r="O19" s="70">
        <f t="shared" si="5"/>
        <v>4865556974.982698</v>
      </c>
      <c r="P19" s="70">
        <f t="shared" si="6"/>
        <v>102993541.80620308</v>
      </c>
      <c r="Q19" s="70">
        <f t="shared" si="7"/>
        <v>341121713.4650277</v>
      </c>
      <c r="R19" s="67">
        <v>0.94</v>
      </c>
    </row>
    <row r="20" spans="1:18" ht="12.75">
      <c r="A20" s="67" t="s">
        <v>9</v>
      </c>
      <c r="B20" s="68">
        <f t="shared" si="8"/>
        <v>21237167.770585496</v>
      </c>
      <c r="C20" s="69">
        <f>Mode_Shares!F24</f>
        <v>0.07349580873486182</v>
      </c>
      <c r="D20" s="70">
        <v>1.09</v>
      </c>
      <c r="E20" s="71">
        <f t="shared" si="0"/>
        <v>8740228690.61492</v>
      </c>
      <c r="F20" s="71">
        <f t="shared" si="1"/>
        <v>8018558431.756806</v>
      </c>
      <c r="G20" s="67">
        <v>2018</v>
      </c>
      <c r="H20" s="74">
        <f t="shared" si="9"/>
        <v>1.2213623560619515</v>
      </c>
      <c r="I20" s="74">
        <f t="shared" si="2"/>
        <v>14.094268018915596</v>
      </c>
      <c r="J20" s="74">
        <f t="shared" si="2"/>
        <v>0.5789849231158732</v>
      </c>
      <c r="K20" s="75">
        <f t="shared" si="2"/>
        <v>0.01225588523383965</v>
      </c>
      <c r="L20" s="76">
        <f t="shared" si="2"/>
        <v>0.040592337127941316</v>
      </c>
      <c r="M20" s="70">
        <f t="shared" si="3"/>
        <v>9793565418.43092</v>
      </c>
      <c r="N20" s="70">
        <f t="shared" si="4"/>
        <v>113015711662.51595</v>
      </c>
      <c r="O20" s="70">
        <f t="shared" si="5"/>
        <v>4642624437.110851</v>
      </c>
      <c r="P20" s="70">
        <f t="shared" si="6"/>
        <v>98274531.88044867</v>
      </c>
      <c r="Q20" s="70">
        <f t="shared" si="7"/>
        <v>325492027.1419687</v>
      </c>
      <c r="R20" s="67">
        <v>0.94</v>
      </c>
    </row>
    <row r="21" spans="1:18" ht="12.75">
      <c r="A21" s="67" t="s">
        <v>9</v>
      </c>
      <c r="B21" s="68">
        <f t="shared" si="8"/>
        <v>21555725.287144277</v>
      </c>
      <c r="C21" s="69">
        <f>Mode_Shares!F25</f>
        <v>0.07193810841447948</v>
      </c>
      <c r="D21" s="70">
        <v>1.09</v>
      </c>
      <c r="E21" s="71">
        <f t="shared" si="0"/>
        <v>8777414300.412157</v>
      </c>
      <c r="F21" s="71">
        <f t="shared" si="1"/>
        <v>8052673670.102896</v>
      </c>
      <c r="G21" s="67">
        <v>2019</v>
      </c>
      <c r="H21" s="74">
        <f t="shared" si="9"/>
        <v>1.1480806146982343</v>
      </c>
      <c r="I21" s="74">
        <f t="shared" si="2"/>
        <v>13.248611937780659</v>
      </c>
      <c r="J21" s="74">
        <f t="shared" si="2"/>
        <v>0.5442458277289208</v>
      </c>
      <c r="K21" s="75">
        <f t="shared" si="2"/>
        <v>0.01152053211980927</v>
      </c>
      <c r="L21" s="76">
        <f t="shared" si="2"/>
        <v>0.038156796900264835</v>
      </c>
      <c r="M21" s="70">
        <f t="shared" si="3"/>
        <v>9245118537.136019</v>
      </c>
      <c r="N21" s="70">
        <f t="shared" si="4"/>
        <v>106686748516.77722</v>
      </c>
      <c r="O21" s="70">
        <f t="shared" si="5"/>
        <v>4382634047.016037</v>
      </c>
      <c r="P21" s="70">
        <f t="shared" si="6"/>
        <v>92771085.66676281</v>
      </c>
      <c r="Q21" s="70">
        <f t="shared" si="7"/>
        <v>307264233.7342264</v>
      </c>
      <c r="R21" s="67">
        <v>0.94</v>
      </c>
    </row>
    <row r="22" spans="1:18" ht="12.75">
      <c r="A22" s="67" t="s">
        <v>9</v>
      </c>
      <c r="B22" s="68">
        <f t="shared" si="8"/>
        <v>21879061.16645144</v>
      </c>
      <c r="C22" s="69">
        <f>Mode_Shares!F26</f>
        <v>0.07038266636213213</v>
      </c>
      <c r="D22" s="70">
        <v>1.09</v>
      </c>
      <c r="E22" s="71">
        <f t="shared" si="0"/>
        <v>8810907870.333576</v>
      </c>
      <c r="F22" s="71">
        <f t="shared" si="1"/>
        <v>8083401715.902363</v>
      </c>
      <c r="G22" s="67">
        <v>2020</v>
      </c>
      <c r="H22" s="74">
        <f t="shared" si="9"/>
        <v>1.0791957778163401</v>
      </c>
      <c r="I22" s="74">
        <f t="shared" si="2"/>
        <v>12.453695221513819</v>
      </c>
      <c r="J22" s="74">
        <f t="shared" si="2"/>
        <v>0.5115910780651856</v>
      </c>
      <c r="K22" s="75">
        <f t="shared" si="2"/>
        <v>0.010829300192620713</v>
      </c>
      <c r="L22" s="76">
        <f t="shared" si="2"/>
        <v>0.035867389086248945</v>
      </c>
      <c r="M22" s="70">
        <f t="shared" si="3"/>
        <v>8723573002.195189</v>
      </c>
      <c r="N22" s="70">
        <f t="shared" si="4"/>
        <v>100668221322.90985</v>
      </c>
      <c r="O22" s="70">
        <f t="shared" si="5"/>
        <v>4135396198.2724605</v>
      </c>
      <c r="P22" s="70">
        <f t="shared" si="6"/>
        <v>87537583.75905205</v>
      </c>
      <c r="Q22" s="70">
        <f t="shared" si="7"/>
        <v>289930514.4847224</v>
      </c>
      <c r="R22" s="67">
        <v>0.94</v>
      </c>
    </row>
    <row r="23" spans="1:18" ht="12.75">
      <c r="A23" s="77" t="s">
        <v>10</v>
      </c>
      <c r="B23" s="78">
        <f>$B$1</f>
        <v>17500000</v>
      </c>
      <c r="C23" s="79">
        <f>Mode_Shares!K11</f>
        <v>0.45152964910308935</v>
      </c>
      <c r="D23" s="80">
        <v>17.44</v>
      </c>
      <c r="E23" s="81">
        <f aca="true" t="shared" si="10" ref="E23:E38">F87*C23</f>
        <v>39643275961.29954</v>
      </c>
      <c r="F23" s="81">
        <f t="shared" si="1"/>
        <v>2273123621.6341476</v>
      </c>
      <c r="G23" s="77">
        <v>2005</v>
      </c>
      <c r="H23" s="82">
        <v>4.75</v>
      </c>
      <c r="I23" s="82">
        <v>11.75</v>
      </c>
      <c r="J23" s="82">
        <v>14.41</v>
      </c>
      <c r="K23" s="79">
        <v>1.5</v>
      </c>
      <c r="L23" s="83">
        <v>0.3157</v>
      </c>
      <c r="M23" s="80">
        <f t="shared" si="3"/>
        <v>10797337202.762201</v>
      </c>
      <c r="N23" s="80">
        <f t="shared" si="4"/>
        <v>26709202554.201233</v>
      </c>
      <c r="O23" s="80">
        <f t="shared" si="5"/>
        <v>32755711387.74807</v>
      </c>
      <c r="P23" s="80">
        <f t="shared" si="6"/>
        <v>3409685432.4512215</v>
      </c>
      <c r="Q23" s="80">
        <f t="shared" si="7"/>
        <v>717625127.3499004</v>
      </c>
      <c r="R23" s="77"/>
    </row>
    <row r="24" spans="1:18" ht="12.75">
      <c r="A24" s="77" t="s">
        <v>10</v>
      </c>
      <c r="B24" s="78">
        <f>B23*(1+$B$2)</f>
        <v>17762500</v>
      </c>
      <c r="C24" s="79">
        <f>Mode_Shares!K12</f>
        <v>0.4618052231251701</v>
      </c>
      <c r="D24" s="80">
        <v>17.44</v>
      </c>
      <c r="E24" s="81">
        <f t="shared" si="10"/>
        <v>41599629631.078514</v>
      </c>
      <c r="F24" s="81">
        <f t="shared" si="1"/>
        <v>2385299864.167346</v>
      </c>
      <c r="G24" s="77">
        <v>2006</v>
      </c>
      <c r="H24" s="82">
        <f>H23*$R24</f>
        <v>4.275</v>
      </c>
      <c r="I24" s="82">
        <f aca="true" t="shared" si="11" ref="I24:L38">I23*$R24</f>
        <v>10.575000000000001</v>
      </c>
      <c r="J24" s="82">
        <f t="shared" si="11"/>
        <v>12.969000000000001</v>
      </c>
      <c r="K24" s="79">
        <f t="shared" si="11"/>
        <v>1.35</v>
      </c>
      <c r="L24" s="83">
        <f t="shared" si="11"/>
        <v>0.28413</v>
      </c>
      <c r="M24" s="80">
        <f t="shared" si="3"/>
        <v>10197156919.315405</v>
      </c>
      <c r="N24" s="80">
        <f t="shared" si="4"/>
        <v>25224546063.569687</v>
      </c>
      <c r="O24" s="80">
        <f t="shared" si="5"/>
        <v>30934953938.386314</v>
      </c>
      <c r="P24" s="80">
        <f t="shared" si="6"/>
        <v>3220154816.6259174</v>
      </c>
      <c r="Q24" s="80">
        <f t="shared" si="7"/>
        <v>677735250.405868</v>
      </c>
      <c r="R24" s="77">
        <v>0.9</v>
      </c>
    </row>
    <row r="25" spans="1:18" ht="12.75">
      <c r="A25" s="77" t="s">
        <v>10</v>
      </c>
      <c r="B25" s="78">
        <f aca="true" t="shared" si="12" ref="B25:B38">B24*(1+$B$2)</f>
        <v>18028937.5</v>
      </c>
      <c r="C25" s="79">
        <f>Mode_Shares!K13</f>
        <v>0.45873599100457274</v>
      </c>
      <c r="D25" s="80">
        <v>17.44</v>
      </c>
      <c r="E25" s="81">
        <f t="shared" si="10"/>
        <v>42397553717.92151</v>
      </c>
      <c r="F25" s="81">
        <f t="shared" si="1"/>
        <v>2431052392.082655</v>
      </c>
      <c r="G25" s="77">
        <v>2007</v>
      </c>
      <c r="H25" s="82">
        <f aca="true" t="shared" si="13" ref="H25:H38">H24*$R25</f>
        <v>3.8475000000000006</v>
      </c>
      <c r="I25" s="82">
        <f t="shared" si="11"/>
        <v>9.517500000000002</v>
      </c>
      <c r="J25" s="82">
        <f t="shared" si="11"/>
        <v>11.672100000000002</v>
      </c>
      <c r="K25" s="79">
        <f t="shared" si="11"/>
        <v>1.215</v>
      </c>
      <c r="L25" s="83">
        <f t="shared" si="11"/>
        <v>0.255717</v>
      </c>
      <c r="M25" s="80">
        <f t="shared" si="3"/>
        <v>9353474078.538017</v>
      </c>
      <c r="N25" s="80">
        <f t="shared" si="4"/>
        <v>23137541141.64667</v>
      </c>
      <c r="O25" s="80">
        <f t="shared" si="5"/>
        <v>28375486625.62796</v>
      </c>
      <c r="P25" s="80">
        <f t="shared" si="6"/>
        <v>2953728656.380426</v>
      </c>
      <c r="Q25" s="80">
        <f t="shared" si="7"/>
        <v>621661424.5462004</v>
      </c>
      <c r="R25" s="77">
        <v>0.9</v>
      </c>
    </row>
    <row r="26" spans="1:18" ht="12.75">
      <c r="A26" s="77" t="s">
        <v>10</v>
      </c>
      <c r="B26" s="78">
        <f t="shared" si="12"/>
        <v>18299371.5625</v>
      </c>
      <c r="C26" s="79">
        <f>Mode_Shares!K14</f>
        <v>0.45557371620558096</v>
      </c>
      <c r="D26" s="80">
        <v>17.44</v>
      </c>
      <c r="E26" s="81">
        <f t="shared" si="10"/>
        <v>42336025171.311874</v>
      </c>
      <c r="F26" s="81">
        <f t="shared" si="1"/>
        <v>2427524379.0889835</v>
      </c>
      <c r="G26" s="77">
        <v>2008</v>
      </c>
      <c r="H26" s="82">
        <f t="shared" si="13"/>
        <v>3.4627500000000007</v>
      </c>
      <c r="I26" s="82">
        <f t="shared" si="11"/>
        <v>8.565750000000001</v>
      </c>
      <c r="J26" s="82">
        <f t="shared" si="11"/>
        <v>10.504890000000001</v>
      </c>
      <c r="K26" s="79">
        <f t="shared" si="11"/>
        <v>1.0935000000000001</v>
      </c>
      <c r="L26" s="83">
        <f t="shared" si="11"/>
        <v>0.23014530000000002</v>
      </c>
      <c r="M26" s="80">
        <f t="shared" si="3"/>
        <v>8405910043.690379</v>
      </c>
      <c r="N26" s="80">
        <f t="shared" si="4"/>
        <v>20793566950.181465</v>
      </c>
      <c r="O26" s="80">
        <f t="shared" si="5"/>
        <v>25500876574.648075</v>
      </c>
      <c r="P26" s="80">
        <f t="shared" si="6"/>
        <v>2654497908.533804</v>
      </c>
      <c r="Q26" s="80">
        <f t="shared" si="7"/>
        <v>558683326.4827479</v>
      </c>
      <c r="R26" s="77">
        <v>0.9</v>
      </c>
    </row>
    <row r="27" spans="1:18" ht="12.75">
      <c r="A27" s="77" t="s">
        <v>10</v>
      </c>
      <c r="B27" s="78">
        <f t="shared" si="12"/>
        <v>18573862.135937497</v>
      </c>
      <c r="C27" s="79">
        <f>Mode_Shares!K15</f>
        <v>0.4523167100240896</v>
      </c>
      <c r="D27" s="80">
        <v>17.44</v>
      </c>
      <c r="E27" s="81">
        <f t="shared" si="10"/>
        <v>43126221957.59973</v>
      </c>
      <c r="F27" s="81">
        <f t="shared" si="1"/>
        <v>2472833827.8440213</v>
      </c>
      <c r="G27" s="77">
        <v>2009</v>
      </c>
      <c r="H27" s="82">
        <f t="shared" si="13"/>
        <v>3.1164750000000008</v>
      </c>
      <c r="I27" s="82">
        <f t="shared" si="11"/>
        <v>7.709175000000001</v>
      </c>
      <c r="J27" s="82">
        <f t="shared" si="11"/>
        <v>9.454401</v>
      </c>
      <c r="K27" s="79">
        <f t="shared" si="11"/>
        <v>0.9841500000000002</v>
      </c>
      <c r="L27" s="83">
        <f t="shared" si="11"/>
        <v>0.20713077000000002</v>
      </c>
      <c r="M27" s="80">
        <f t="shared" si="3"/>
        <v>7706524803.6301985</v>
      </c>
      <c r="N27" s="80">
        <f t="shared" si="4"/>
        <v>19063508724.769436</v>
      </c>
      <c r="O27" s="80">
        <f t="shared" si="5"/>
        <v>23379162614.802345</v>
      </c>
      <c r="P27" s="80">
        <f t="shared" si="6"/>
        <v>2433639411.672694</v>
      </c>
      <c r="Q27" s="80">
        <f t="shared" si="7"/>
        <v>512199974.8433796</v>
      </c>
      <c r="R27" s="77">
        <v>0.9</v>
      </c>
    </row>
    <row r="28" spans="1:18" ht="12.75">
      <c r="A28" s="77" t="s">
        <v>10</v>
      </c>
      <c r="B28" s="78">
        <f t="shared" si="12"/>
        <v>18852470.067976557</v>
      </c>
      <c r="C28" s="79">
        <f>Mode_Shares!K16</f>
        <v>0.4489633307819742</v>
      </c>
      <c r="D28" s="80">
        <v>17.44</v>
      </c>
      <c r="E28" s="81">
        <f t="shared" si="10"/>
        <v>43480267587.63615</v>
      </c>
      <c r="F28" s="81">
        <f t="shared" si="1"/>
        <v>2493134609.3828063</v>
      </c>
      <c r="G28" s="77">
        <v>2010</v>
      </c>
      <c r="H28" s="82">
        <f t="shared" si="13"/>
        <v>2.804827500000001</v>
      </c>
      <c r="I28" s="82">
        <f t="shared" si="11"/>
        <v>6.938257500000001</v>
      </c>
      <c r="J28" s="82">
        <f t="shared" si="11"/>
        <v>8.508960900000002</v>
      </c>
      <c r="K28" s="79">
        <f t="shared" si="11"/>
        <v>0.8857350000000002</v>
      </c>
      <c r="L28" s="83">
        <f t="shared" si="11"/>
        <v>0.18641769300000002</v>
      </c>
      <c r="M28" s="80">
        <f t="shared" si="3"/>
        <v>6992812513.598656</v>
      </c>
      <c r="N28" s="80">
        <f t="shared" si="4"/>
        <v>17298009902.059826</v>
      </c>
      <c r="O28" s="80">
        <f t="shared" si="5"/>
        <v>21213984909.675076</v>
      </c>
      <c r="P28" s="80">
        <f t="shared" si="6"/>
        <v>2208256583.24168</v>
      </c>
      <c r="Q28" s="80">
        <f t="shared" si="7"/>
        <v>464764402.21959895</v>
      </c>
      <c r="R28" s="77">
        <v>0.9</v>
      </c>
    </row>
    <row r="29" spans="1:18" ht="12.75">
      <c r="A29" s="77" t="s">
        <v>10</v>
      </c>
      <c r="B29" s="78">
        <f t="shared" si="12"/>
        <v>19135257.118996203</v>
      </c>
      <c r="C29" s="79">
        <f>Mode_Shares!K17</f>
        <v>0.4591787042028608</v>
      </c>
      <c r="D29" s="80">
        <v>17.44</v>
      </c>
      <c r="E29" s="81">
        <f t="shared" si="10"/>
        <v>45625794048.18567</v>
      </c>
      <c r="F29" s="81">
        <f t="shared" si="1"/>
        <v>2616157915.606976</v>
      </c>
      <c r="G29" s="77">
        <v>2011</v>
      </c>
      <c r="H29" s="82">
        <f t="shared" si="13"/>
        <v>2.468248200000001</v>
      </c>
      <c r="I29" s="82">
        <f t="shared" si="11"/>
        <v>6.1056666</v>
      </c>
      <c r="J29" s="82">
        <f t="shared" si="11"/>
        <v>7.487885592000001</v>
      </c>
      <c r="K29" s="79">
        <f t="shared" si="11"/>
        <v>0.7794468000000001</v>
      </c>
      <c r="L29" s="83">
        <f t="shared" si="11"/>
        <v>0.16404756984000002</v>
      </c>
      <c r="M29" s="80">
        <f t="shared" si="3"/>
        <v>6457327066.112673</v>
      </c>
      <c r="N29" s="80">
        <f t="shared" si="4"/>
        <v>15973388005.647133</v>
      </c>
      <c r="O29" s="80">
        <f t="shared" si="5"/>
        <v>19589491162.67023</v>
      </c>
      <c r="P29" s="80">
        <f t="shared" si="6"/>
        <v>2039155915.6145277</v>
      </c>
      <c r="Q29" s="80">
        <f t="shared" si="7"/>
        <v>429174348.37300426</v>
      </c>
      <c r="R29" s="77">
        <v>0.88</v>
      </c>
    </row>
    <row r="30" spans="1:18" ht="12.75">
      <c r="A30" s="77" t="s">
        <v>10</v>
      </c>
      <c r="B30" s="78">
        <f t="shared" si="12"/>
        <v>19422285.975781143</v>
      </c>
      <c r="C30" s="79">
        <f>Mode_Shares!K18</f>
        <v>0.4558675727192552</v>
      </c>
      <c r="D30" s="80">
        <v>17.44</v>
      </c>
      <c r="E30" s="81">
        <f t="shared" si="10"/>
        <v>46474503522.15529</v>
      </c>
      <c r="F30" s="81">
        <f t="shared" si="1"/>
        <v>2664822449.6648674</v>
      </c>
      <c r="G30" s="77">
        <v>2012</v>
      </c>
      <c r="H30" s="82">
        <f t="shared" si="13"/>
        <v>2.172058416000001</v>
      </c>
      <c r="I30" s="82">
        <f t="shared" si="11"/>
        <v>5.372986608000001</v>
      </c>
      <c r="J30" s="82">
        <f t="shared" si="11"/>
        <v>6.5893393209600015</v>
      </c>
      <c r="K30" s="79">
        <f t="shared" si="11"/>
        <v>0.6859131840000001</v>
      </c>
      <c r="L30" s="83">
        <f t="shared" si="11"/>
        <v>0.14436186145920002</v>
      </c>
      <c r="M30" s="80">
        <f t="shared" si="3"/>
        <v>5788150028.940314</v>
      </c>
      <c r="N30" s="80">
        <f t="shared" si="4"/>
        <v>14318055334.747087</v>
      </c>
      <c r="O30" s="80">
        <f t="shared" si="5"/>
        <v>17559419350.953667</v>
      </c>
      <c r="P30" s="80">
        <f t="shared" si="6"/>
        <v>1827836851.2443092</v>
      </c>
      <c r="Q30" s="80">
        <f t="shared" si="7"/>
        <v>384698729.2918856</v>
      </c>
      <c r="R30" s="77">
        <v>0.88</v>
      </c>
    </row>
    <row r="31" spans="1:18" ht="12.75">
      <c r="A31" s="77" t="s">
        <v>10</v>
      </c>
      <c r="B31" s="78">
        <f t="shared" si="12"/>
        <v>19713620.26541786</v>
      </c>
      <c r="C31" s="79">
        <f>Mode_Shares!K19</f>
        <v>0.45245610881355564</v>
      </c>
      <c r="D31" s="80">
        <v>17.44</v>
      </c>
      <c r="E31" s="81">
        <f t="shared" si="10"/>
        <v>47326008280.37484</v>
      </c>
      <c r="F31" s="81">
        <f t="shared" si="1"/>
        <v>2713647263.782961</v>
      </c>
      <c r="G31" s="77">
        <v>2013</v>
      </c>
      <c r="H31" s="82">
        <f t="shared" si="13"/>
        <v>1.911411406080001</v>
      </c>
      <c r="I31" s="82">
        <f t="shared" si="11"/>
        <v>4.728228215040001</v>
      </c>
      <c r="J31" s="82">
        <f t="shared" si="11"/>
        <v>5.798618602444801</v>
      </c>
      <c r="K31" s="79">
        <f t="shared" si="11"/>
        <v>0.6036036019200001</v>
      </c>
      <c r="L31" s="83">
        <f t="shared" si="11"/>
        <v>0.127038438084096</v>
      </c>
      <c r="M31" s="80">
        <f t="shared" si="3"/>
        <v>5186896332.072536</v>
      </c>
      <c r="N31" s="80">
        <f t="shared" si="4"/>
        <v>12830743558.28469</v>
      </c>
      <c r="O31" s="80">
        <f t="shared" si="5"/>
        <v>15735405504.245312</v>
      </c>
      <c r="P31" s="80">
        <f t="shared" si="6"/>
        <v>1637967262.7597477</v>
      </c>
      <c r="Q31" s="80">
        <f t="shared" si="7"/>
        <v>344737509.9021682</v>
      </c>
      <c r="R31" s="77">
        <v>0.88</v>
      </c>
    </row>
    <row r="32" spans="1:18" ht="12.75">
      <c r="A32" s="77" t="s">
        <v>10</v>
      </c>
      <c r="B32" s="78">
        <f t="shared" si="12"/>
        <v>20009324.569399126</v>
      </c>
      <c r="C32" s="79">
        <f>Mode_Shares!K20</f>
        <v>0.4489425984558417</v>
      </c>
      <c r="D32" s="80">
        <v>17.44</v>
      </c>
      <c r="E32" s="81">
        <f t="shared" si="10"/>
        <v>48179423145.65418</v>
      </c>
      <c r="F32" s="81">
        <f t="shared" si="1"/>
        <v>2762581602.3884277</v>
      </c>
      <c r="G32" s="77">
        <v>2014</v>
      </c>
      <c r="H32" s="82">
        <f t="shared" si="13"/>
        <v>1.6820420373504008</v>
      </c>
      <c r="I32" s="82">
        <f t="shared" si="11"/>
        <v>4.160840829235201</v>
      </c>
      <c r="J32" s="82">
        <f t="shared" si="11"/>
        <v>5.102784370151425</v>
      </c>
      <c r="K32" s="79">
        <f t="shared" si="11"/>
        <v>0.5311711696896001</v>
      </c>
      <c r="L32" s="83">
        <f t="shared" si="11"/>
        <v>0.11179382551400449</v>
      </c>
      <c r="M32" s="80">
        <f t="shared" si="3"/>
        <v>4646778386.828166</v>
      </c>
      <c r="N32" s="80">
        <f t="shared" si="4"/>
        <v>11494662325.311775</v>
      </c>
      <c r="O32" s="80">
        <f t="shared" si="5"/>
        <v>14096858221.935547</v>
      </c>
      <c r="P32" s="80">
        <f t="shared" si="6"/>
        <v>1467403701.1036308</v>
      </c>
      <c r="Q32" s="80">
        <f t="shared" si="7"/>
        <v>308839565.6256108</v>
      </c>
      <c r="R32" s="77">
        <v>0.88</v>
      </c>
    </row>
    <row r="33" spans="1:18" ht="12.75">
      <c r="A33" s="77" t="s">
        <v>10</v>
      </c>
      <c r="B33" s="78">
        <f t="shared" si="12"/>
        <v>20309464.43794011</v>
      </c>
      <c r="C33" s="79">
        <f>Mode_Shares!K21</f>
        <v>0.4453253939967144</v>
      </c>
      <c r="D33" s="80">
        <v>17.44</v>
      </c>
      <c r="E33" s="81">
        <f t="shared" si="10"/>
        <v>49033805671.494576</v>
      </c>
      <c r="F33" s="81">
        <f t="shared" si="1"/>
        <v>2811571426.117808</v>
      </c>
      <c r="G33" s="77">
        <v>2015</v>
      </c>
      <c r="H33" s="82">
        <f t="shared" si="13"/>
        <v>1.4801969928683527</v>
      </c>
      <c r="I33" s="82">
        <f t="shared" si="11"/>
        <v>3.6615399297269766</v>
      </c>
      <c r="J33" s="82">
        <f t="shared" si="11"/>
        <v>4.490450245733254</v>
      </c>
      <c r="K33" s="79">
        <f t="shared" si="11"/>
        <v>0.4674306293268481</v>
      </c>
      <c r="L33" s="83">
        <f t="shared" si="11"/>
        <v>0.09837856645232396</v>
      </c>
      <c r="M33" s="80">
        <f t="shared" si="3"/>
        <v>4161679570.1741652</v>
      </c>
      <c r="N33" s="80">
        <f t="shared" si="4"/>
        <v>10294681042.009773</v>
      </c>
      <c r="O33" s="80">
        <f t="shared" si="5"/>
        <v>12625221601.307306</v>
      </c>
      <c r="P33" s="80">
        <f t="shared" si="6"/>
        <v>1314214601.1076307</v>
      </c>
      <c r="Q33" s="80">
        <f t="shared" si="7"/>
        <v>276598366.379786</v>
      </c>
      <c r="R33" s="77">
        <v>0.88</v>
      </c>
    </row>
    <row r="34" spans="1:18" ht="12.75">
      <c r="A34" s="77" t="s">
        <v>10</v>
      </c>
      <c r="B34" s="78">
        <f t="shared" si="12"/>
        <v>20614106.40450921</v>
      </c>
      <c r="C34" s="79">
        <f>Mode_Shares!K22</f>
        <v>0.45877519879254186</v>
      </c>
      <c r="D34" s="80">
        <v>17.44</v>
      </c>
      <c r="E34" s="81">
        <f t="shared" si="10"/>
        <v>51828117368.0878</v>
      </c>
      <c r="F34" s="81">
        <f t="shared" si="1"/>
        <v>2971795720.647236</v>
      </c>
      <c r="G34" s="77">
        <v>2016</v>
      </c>
      <c r="H34" s="82">
        <f t="shared" si="13"/>
        <v>1.3173753236528338</v>
      </c>
      <c r="I34" s="82">
        <f t="shared" si="11"/>
        <v>3.2587705374570093</v>
      </c>
      <c r="J34" s="82">
        <f t="shared" si="11"/>
        <v>3.9965007187025963</v>
      </c>
      <c r="K34" s="79">
        <f t="shared" si="11"/>
        <v>0.4160132601008948</v>
      </c>
      <c r="L34" s="83">
        <f t="shared" si="11"/>
        <v>0.08755692414256833</v>
      </c>
      <c r="M34" s="80">
        <f t="shared" si="3"/>
        <v>3914970349.317759</v>
      </c>
      <c r="N34" s="80">
        <f t="shared" si="4"/>
        <v>9684400337.786034</v>
      </c>
      <c r="O34" s="80">
        <f t="shared" si="5"/>
        <v>11876783733.403978</v>
      </c>
      <c r="P34" s="80">
        <f t="shared" si="6"/>
        <v>1236306426.1003447</v>
      </c>
      <c r="Q34" s="80">
        <f t="shared" si="7"/>
        <v>260201292.4799192</v>
      </c>
      <c r="R34" s="77">
        <v>0.89</v>
      </c>
    </row>
    <row r="35" spans="1:18" ht="12.75">
      <c r="A35" s="77" t="s">
        <v>10</v>
      </c>
      <c r="B35" s="78">
        <f t="shared" si="12"/>
        <v>20923318.000576846</v>
      </c>
      <c r="C35" s="79">
        <f>Mode_Shares!K23</f>
        <v>0.4552599458244928</v>
      </c>
      <c r="D35" s="80">
        <v>17.44</v>
      </c>
      <c r="E35" s="81">
        <f t="shared" si="10"/>
        <v>52768202994.475746</v>
      </c>
      <c r="F35" s="81">
        <f t="shared" si="1"/>
        <v>3025699712.9859943</v>
      </c>
      <c r="G35" s="77">
        <v>2017</v>
      </c>
      <c r="H35" s="82">
        <f t="shared" si="13"/>
        <v>1.172464038051022</v>
      </c>
      <c r="I35" s="82">
        <f t="shared" si="11"/>
        <v>2.9003057783367385</v>
      </c>
      <c r="J35" s="82">
        <f t="shared" si="11"/>
        <v>3.556885639645311</v>
      </c>
      <c r="K35" s="79">
        <f t="shared" si="11"/>
        <v>0.37025180148979636</v>
      </c>
      <c r="L35" s="83">
        <f t="shared" si="11"/>
        <v>0.07792566248688582</v>
      </c>
      <c r="M35" s="80">
        <f t="shared" si="3"/>
        <v>3547524103.4173775</v>
      </c>
      <c r="N35" s="80">
        <f t="shared" si="4"/>
        <v>8775454361.08509</v>
      </c>
      <c r="O35" s="80">
        <f t="shared" si="5"/>
        <v>10762067858.998821</v>
      </c>
      <c r="P35" s="80">
        <f t="shared" si="6"/>
        <v>1120270769.500224</v>
      </c>
      <c r="Q35" s="80">
        <f t="shared" si="7"/>
        <v>235779654.62081388</v>
      </c>
      <c r="R35" s="77">
        <v>0.89</v>
      </c>
    </row>
    <row r="36" spans="1:18" ht="12.75">
      <c r="A36" s="77" t="s">
        <v>10</v>
      </c>
      <c r="B36" s="78">
        <f t="shared" si="12"/>
        <v>21237167.770585496</v>
      </c>
      <c r="C36" s="79">
        <f>Mode_Shares!K24</f>
        <v>0.4564441321453677</v>
      </c>
      <c r="D36" s="80">
        <v>17.44</v>
      </c>
      <c r="E36" s="81">
        <f t="shared" si="10"/>
        <v>54281001435.49323</v>
      </c>
      <c r="F36" s="81">
        <f t="shared" si="1"/>
        <v>3112442742.8608503</v>
      </c>
      <c r="G36" s="77">
        <v>2018</v>
      </c>
      <c r="H36" s="82">
        <f t="shared" si="13"/>
        <v>1.0434929938654096</v>
      </c>
      <c r="I36" s="82">
        <f t="shared" si="11"/>
        <v>2.581272142719697</v>
      </c>
      <c r="J36" s="82">
        <f t="shared" si="11"/>
        <v>3.1656282192843266</v>
      </c>
      <c r="K36" s="79">
        <f t="shared" si="11"/>
        <v>0.32952410332591875</v>
      </c>
      <c r="L36" s="83">
        <f t="shared" si="11"/>
        <v>0.06935383961332837</v>
      </c>
      <c r="M36" s="80">
        <f t="shared" si="3"/>
        <v>3247812195.982536</v>
      </c>
      <c r="N36" s="80">
        <f t="shared" si="4"/>
        <v>8034061747.956799</v>
      </c>
      <c r="O36" s="80">
        <f t="shared" si="5"/>
        <v>9852836577.707018</v>
      </c>
      <c r="P36" s="80">
        <f t="shared" si="6"/>
        <v>1025624903.9944848</v>
      </c>
      <c r="Q36" s="80">
        <f t="shared" si="7"/>
        <v>215859854.79403925</v>
      </c>
      <c r="R36" s="77">
        <v>0.89</v>
      </c>
    </row>
    <row r="37" spans="1:18" ht="12.75">
      <c r="A37" s="77" t="s">
        <v>10</v>
      </c>
      <c r="B37" s="78">
        <f t="shared" si="12"/>
        <v>21555725.287144277</v>
      </c>
      <c r="C37" s="79">
        <f>Mode_Shares!K25</f>
        <v>0.45280811665968995</v>
      </c>
      <c r="D37" s="80">
        <v>17.44</v>
      </c>
      <c r="E37" s="81">
        <f t="shared" si="10"/>
        <v>55248664805.19645</v>
      </c>
      <c r="F37" s="81">
        <f t="shared" si="1"/>
        <v>3167928027.820897</v>
      </c>
      <c r="G37" s="77">
        <v>2019</v>
      </c>
      <c r="H37" s="82">
        <f t="shared" si="13"/>
        <v>0.9287087645402146</v>
      </c>
      <c r="I37" s="82">
        <f t="shared" si="11"/>
        <v>2.2973322070205304</v>
      </c>
      <c r="J37" s="82">
        <f t="shared" si="11"/>
        <v>2.8174091151630507</v>
      </c>
      <c r="K37" s="79">
        <f t="shared" si="11"/>
        <v>0.2932764519600677</v>
      </c>
      <c r="L37" s="83">
        <f t="shared" si="11"/>
        <v>0.06172491725586225</v>
      </c>
      <c r="M37" s="80">
        <f t="shared" si="3"/>
        <v>2942082524.869864</v>
      </c>
      <c r="N37" s="80">
        <f t="shared" si="4"/>
        <v>7277783087.835978</v>
      </c>
      <c r="O37" s="80">
        <f t="shared" si="5"/>
        <v>8925349301.763102</v>
      </c>
      <c r="P37" s="80">
        <f t="shared" si="6"/>
        <v>929078692.0641673</v>
      </c>
      <c r="Q37" s="80">
        <f t="shared" si="7"/>
        <v>195540095.38977176</v>
      </c>
      <c r="R37" s="77">
        <v>0.89</v>
      </c>
    </row>
    <row r="38" spans="1:18" ht="12.75">
      <c r="A38" s="77" t="s">
        <v>10</v>
      </c>
      <c r="B38" s="78">
        <f t="shared" si="12"/>
        <v>21879061.16645144</v>
      </c>
      <c r="C38" s="79">
        <f>Mode_Shares!K26</f>
        <v>0.4490651366486165</v>
      </c>
      <c r="D38" s="80">
        <v>17.44</v>
      </c>
      <c r="E38" s="81">
        <f t="shared" si="10"/>
        <v>56216562277.30695</v>
      </c>
      <c r="F38" s="81">
        <f t="shared" si="1"/>
        <v>3223426736.084114</v>
      </c>
      <c r="G38" s="77">
        <v>2020</v>
      </c>
      <c r="H38" s="82">
        <f t="shared" si="13"/>
        <v>0.826550800440791</v>
      </c>
      <c r="I38" s="82">
        <f t="shared" si="11"/>
        <v>2.0446256642482723</v>
      </c>
      <c r="J38" s="82">
        <f t="shared" si="11"/>
        <v>2.5074941124951153</v>
      </c>
      <c r="K38" s="79">
        <f t="shared" si="11"/>
        <v>0.26101604224446023</v>
      </c>
      <c r="L38" s="83">
        <f t="shared" si="11"/>
        <v>0.05493517635771741</v>
      </c>
      <c r="M38" s="80">
        <f t="shared" si="3"/>
        <v>2664325948.872571</v>
      </c>
      <c r="N38" s="80">
        <f t="shared" si="4"/>
        <v>6590701031.421622</v>
      </c>
      <c r="O38" s="80">
        <f t="shared" si="5"/>
        <v>8082723562.790262</v>
      </c>
      <c r="P38" s="80">
        <f t="shared" si="6"/>
        <v>841366089.1176537</v>
      </c>
      <c r="Q38" s="80">
        <f t="shared" si="7"/>
        <v>177079516.2229622</v>
      </c>
      <c r="R38" s="77">
        <v>0.89</v>
      </c>
    </row>
    <row r="39" spans="1:18" ht="12.75">
      <c r="A39" s="84" t="s">
        <v>11</v>
      </c>
      <c r="B39" s="85">
        <f>$B$1</f>
        <v>17500000</v>
      </c>
      <c r="C39" s="86">
        <f>Mode_Shares!P11</f>
        <v>0.22943529223596948</v>
      </c>
      <c r="D39" s="84">
        <v>1.8</v>
      </c>
      <c r="E39" s="87">
        <f aca="true" t="shared" si="14" ref="E39:E54">F87*C39</f>
        <v>20143896693.028282</v>
      </c>
      <c r="F39" s="87">
        <f aca="true" t="shared" si="15" ref="F39:F70">E39/D39</f>
        <v>11191053718.349045</v>
      </c>
      <c r="G39" s="84">
        <v>2005</v>
      </c>
      <c r="H39" s="88">
        <v>3.15</v>
      </c>
      <c r="I39" s="88">
        <v>42.26</v>
      </c>
      <c r="J39" s="88">
        <v>0.96</v>
      </c>
      <c r="K39" s="86">
        <v>0.101</v>
      </c>
      <c r="L39" s="89">
        <v>0.2341</v>
      </c>
      <c r="M39" s="90">
        <f t="shared" si="3"/>
        <v>35251819212.79949</v>
      </c>
      <c r="N39" s="90">
        <f t="shared" si="4"/>
        <v>472933930137.4306</v>
      </c>
      <c r="O39" s="90">
        <f t="shared" si="5"/>
        <v>10743411569.615082</v>
      </c>
      <c r="P39" s="90">
        <f t="shared" si="6"/>
        <v>1130296425.5532537</v>
      </c>
      <c r="Q39" s="90">
        <f t="shared" si="7"/>
        <v>2619825675.4655113</v>
      </c>
      <c r="R39" s="84"/>
    </row>
    <row r="40" spans="1:18" ht="12.75">
      <c r="A40" s="84" t="s">
        <v>11</v>
      </c>
      <c r="B40" s="85">
        <f>B39*(1+$B$2)</f>
        <v>17762500</v>
      </c>
      <c r="C40" s="86">
        <f>Mode_Shares!P12</f>
        <v>0.2356145618118943</v>
      </c>
      <c r="D40" s="84">
        <v>1.8</v>
      </c>
      <c r="E40" s="87">
        <f t="shared" si="14"/>
        <v>21224269489.05906</v>
      </c>
      <c r="F40" s="87">
        <f t="shared" si="15"/>
        <v>11791260827.255033</v>
      </c>
      <c r="G40" s="84">
        <v>2006</v>
      </c>
      <c r="H40" s="88">
        <f>H39*$R40</f>
        <v>3.15</v>
      </c>
      <c r="I40" s="88">
        <f aca="true" t="shared" si="16" ref="I40:L54">I39*$R40</f>
        <v>42.26</v>
      </c>
      <c r="J40" s="88">
        <f t="shared" si="16"/>
        <v>0.96</v>
      </c>
      <c r="K40" s="86">
        <f t="shared" si="16"/>
        <v>0.101</v>
      </c>
      <c r="L40" s="89">
        <f t="shared" si="16"/>
        <v>0.2341</v>
      </c>
      <c r="M40" s="90">
        <f t="shared" si="3"/>
        <v>37142471605.853355</v>
      </c>
      <c r="N40" s="90">
        <f t="shared" si="4"/>
        <v>498298682559.79767</v>
      </c>
      <c r="O40" s="90">
        <f t="shared" si="5"/>
        <v>11319610394.164831</v>
      </c>
      <c r="P40" s="90">
        <f t="shared" si="6"/>
        <v>1190917343.5527585</v>
      </c>
      <c r="Q40" s="90">
        <f t="shared" si="7"/>
        <v>2760334159.6604033</v>
      </c>
      <c r="R40" s="84">
        <v>1</v>
      </c>
    </row>
    <row r="41" spans="1:18" ht="12.75">
      <c r="A41" s="84" t="s">
        <v>11</v>
      </c>
      <c r="B41" s="85">
        <f aca="true" t="shared" si="17" ref="B41:B54">B40*(1+$B$2)</f>
        <v>18028937.5</v>
      </c>
      <c r="C41" s="86">
        <f>Mode_Shares!P13</f>
        <v>0.23501367456341812</v>
      </c>
      <c r="D41" s="84">
        <v>1.8</v>
      </c>
      <c r="E41" s="87">
        <f t="shared" si="14"/>
        <v>21720564959.223618</v>
      </c>
      <c r="F41" s="87">
        <f t="shared" si="15"/>
        <v>12066980532.90201</v>
      </c>
      <c r="G41" s="84">
        <v>2007</v>
      </c>
      <c r="H41" s="88">
        <f aca="true" t="shared" si="18" ref="H41:H54">H40*$R41</f>
        <v>3.15</v>
      </c>
      <c r="I41" s="88">
        <f t="shared" si="16"/>
        <v>42.26</v>
      </c>
      <c r="J41" s="88">
        <f t="shared" si="16"/>
        <v>0.96</v>
      </c>
      <c r="K41" s="86">
        <f t="shared" si="16"/>
        <v>0.101</v>
      </c>
      <c r="L41" s="89">
        <f t="shared" si="16"/>
        <v>0.2341</v>
      </c>
      <c r="M41" s="90">
        <f t="shared" si="3"/>
        <v>38010988678.64133</v>
      </c>
      <c r="N41" s="90">
        <f t="shared" si="4"/>
        <v>509950597320.4389</v>
      </c>
      <c r="O41" s="90">
        <f t="shared" si="5"/>
        <v>11584301311.58593</v>
      </c>
      <c r="P41" s="90">
        <f t="shared" si="6"/>
        <v>1218765033.8231032</v>
      </c>
      <c r="Q41" s="90">
        <f t="shared" si="7"/>
        <v>2824880142.7523603</v>
      </c>
      <c r="R41" s="84">
        <v>1</v>
      </c>
    </row>
    <row r="42" spans="1:18" ht="12.75">
      <c r="A42" s="84" t="s">
        <v>11</v>
      </c>
      <c r="B42" s="85">
        <f t="shared" si="17"/>
        <v>18299371.5625</v>
      </c>
      <c r="C42" s="86">
        <f>Mode_Shares!P14</f>
        <v>0.23436560680935306</v>
      </c>
      <c r="D42" s="84">
        <v>1.8</v>
      </c>
      <c r="E42" s="87">
        <f t="shared" si="14"/>
        <v>21779369345.120712</v>
      </c>
      <c r="F42" s="87">
        <f t="shared" si="15"/>
        <v>12099649636.178173</v>
      </c>
      <c r="G42" s="84">
        <v>2008</v>
      </c>
      <c r="H42" s="88">
        <f t="shared" si="18"/>
        <v>3.15</v>
      </c>
      <c r="I42" s="88">
        <f t="shared" si="16"/>
        <v>42.26</v>
      </c>
      <c r="J42" s="88">
        <f t="shared" si="16"/>
        <v>0.96</v>
      </c>
      <c r="K42" s="86">
        <f t="shared" si="16"/>
        <v>0.101</v>
      </c>
      <c r="L42" s="89">
        <f t="shared" si="16"/>
        <v>0.2341</v>
      </c>
      <c r="M42" s="90">
        <f t="shared" si="3"/>
        <v>38113896353.96124</v>
      </c>
      <c r="N42" s="90">
        <f t="shared" si="4"/>
        <v>511331193624.8896</v>
      </c>
      <c r="O42" s="90">
        <f t="shared" si="5"/>
        <v>11615663650.731045</v>
      </c>
      <c r="P42" s="90">
        <f t="shared" si="6"/>
        <v>1222064613.2539957</v>
      </c>
      <c r="Q42" s="90">
        <f t="shared" si="7"/>
        <v>2832527979.8293104</v>
      </c>
      <c r="R42" s="84">
        <v>1</v>
      </c>
    </row>
    <row r="43" spans="1:18" ht="12.75">
      <c r="A43" s="84" t="s">
        <v>11</v>
      </c>
      <c r="B43" s="85">
        <f t="shared" si="17"/>
        <v>18573862.135937497</v>
      </c>
      <c r="C43" s="86">
        <f>Mode_Shares!P15</f>
        <v>0.23366883947021025</v>
      </c>
      <c r="D43" s="84">
        <v>1.8</v>
      </c>
      <c r="E43" s="87">
        <f t="shared" si="14"/>
        <v>22279199534.835518</v>
      </c>
      <c r="F43" s="87">
        <f t="shared" si="15"/>
        <v>12377333074.90862</v>
      </c>
      <c r="G43" s="84">
        <v>2009</v>
      </c>
      <c r="H43" s="88">
        <f t="shared" si="18"/>
        <v>3.15</v>
      </c>
      <c r="I43" s="88">
        <f t="shared" si="16"/>
        <v>42.26</v>
      </c>
      <c r="J43" s="88">
        <f t="shared" si="16"/>
        <v>0.96</v>
      </c>
      <c r="K43" s="86">
        <f t="shared" si="16"/>
        <v>0.101</v>
      </c>
      <c r="L43" s="89">
        <f t="shared" si="16"/>
        <v>0.2341</v>
      </c>
      <c r="M43" s="90">
        <f t="shared" si="3"/>
        <v>38988599185.96216</v>
      </c>
      <c r="N43" s="90">
        <f t="shared" si="4"/>
        <v>523066095745.6383</v>
      </c>
      <c r="O43" s="90">
        <f t="shared" si="5"/>
        <v>11882239751.912275</v>
      </c>
      <c r="P43" s="90">
        <f t="shared" si="6"/>
        <v>1250110640.5657709</v>
      </c>
      <c r="Q43" s="90">
        <f t="shared" si="7"/>
        <v>2897533672.836108</v>
      </c>
      <c r="R43" s="84">
        <v>1</v>
      </c>
    </row>
    <row r="44" spans="1:18" ht="12.75">
      <c r="A44" s="84" t="s">
        <v>11</v>
      </c>
      <c r="B44" s="85">
        <f t="shared" si="17"/>
        <v>18852470.067976557</v>
      </c>
      <c r="C44" s="86">
        <f>Mode_Shares!P16</f>
        <v>0.23292184432894103</v>
      </c>
      <c r="D44" s="84">
        <v>1.8</v>
      </c>
      <c r="E44" s="87">
        <f t="shared" si="14"/>
        <v>22557530702.537956</v>
      </c>
      <c r="F44" s="87">
        <f t="shared" si="15"/>
        <v>12531961501.409975</v>
      </c>
      <c r="G44" s="84">
        <v>2010</v>
      </c>
      <c r="H44" s="88">
        <f t="shared" si="18"/>
        <v>3.15</v>
      </c>
      <c r="I44" s="88">
        <f t="shared" si="16"/>
        <v>42.26</v>
      </c>
      <c r="J44" s="88">
        <f t="shared" si="16"/>
        <v>0.96</v>
      </c>
      <c r="K44" s="86">
        <f t="shared" si="16"/>
        <v>0.101</v>
      </c>
      <c r="L44" s="89">
        <f t="shared" si="16"/>
        <v>0.2341</v>
      </c>
      <c r="M44" s="90">
        <f t="shared" si="3"/>
        <v>39475678729.44142</v>
      </c>
      <c r="N44" s="90">
        <f t="shared" si="4"/>
        <v>529600693049.5855</v>
      </c>
      <c r="O44" s="90">
        <f t="shared" si="5"/>
        <v>12030683041.353575</v>
      </c>
      <c r="P44" s="90">
        <f t="shared" si="6"/>
        <v>1265728111.6424077</v>
      </c>
      <c r="Q44" s="90">
        <f t="shared" si="7"/>
        <v>2933732187.4800754</v>
      </c>
      <c r="R44" s="84">
        <v>1</v>
      </c>
    </row>
    <row r="45" spans="1:18" ht="12.75">
      <c r="A45" s="84" t="s">
        <v>11</v>
      </c>
      <c r="B45" s="85">
        <f t="shared" si="17"/>
        <v>19135257.118996203</v>
      </c>
      <c r="C45" s="86">
        <f>Mode_Shares!P17</f>
        <v>0.23923667526758624</v>
      </c>
      <c r="D45" s="84">
        <v>1.8</v>
      </c>
      <c r="E45" s="87">
        <f t="shared" si="14"/>
        <v>23771492829.74861</v>
      </c>
      <c r="F45" s="87">
        <f t="shared" si="15"/>
        <v>13206384905.415895</v>
      </c>
      <c r="G45" s="84">
        <v>2011</v>
      </c>
      <c r="H45" s="88">
        <f t="shared" si="18"/>
        <v>3.1185</v>
      </c>
      <c r="I45" s="88">
        <f t="shared" si="16"/>
        <v>41.837399999999995</v>
      </c>
      <c r="J45" s="88">
        <f t="shared" si="16"/>
        <v>0.9503999999999999</v>
      </c>
      <c r="K45" s="86">
        <f t="shared" si="16"/>
        <v>0.09999000000000001</v>
      </c>
      <c r="L45" s="89">
        <f t="shared" si="16"/>
        <v>0.231759</v>
      </c>
      <c r="M45" s="90">
        <f t="shared" si="3"/>
        <v>41184111327.53947</v>
      </c>
      <c r="N45" s="90">
        <f t="shared" si="4"/>
        <v>552520807841.8469</v>
      </c>
      <c r="O45" s="90">
        <f t="shared" si="5"/>
        <v>12551348214.107265</v>
      </c>
      <c r="P45" s="90">
        <f t="shared" si="6"/>
        <v>1320506426.6925354</v>
      </c>
      <c r="Q45" s="90">
        <f t="shared" si="7"/>
        <v>3060698559.2942824</v>
      </c>
      <c r="R45" s="84">
        <v>0.99</v>
      </c>
    </row>
    <row r="46" spans="1:18" ht="12.75">
      <c r="A46" s="84" t="s">
        <v>11</v>
      </c>
      <c r="B46" s="85">
        <f t="shared" si="17"/>
        <v>19422285.975781143</v>
      </c>
      <c r="C46" s="86">
        <f>Mode_Shares!P18</f>
        <v>0.23853376252492053</v>
      </c>
      <c r="D46" s="84">
        <v>1.8</v>
      </c>
      <c r="E46" s="87">
        <f t="shared" si="14"/>
        <v>24317891532.601933</v>
      </c>
      <c r="F46" s="87">
        <f t="shared" si="15"/>
        <v>13509939740.334406</v>
      </c>
      <c r="G46" s="84">
        <v>2012</v>
      </c>
      <c r="H46" s="88">
        <f t="shared" si="18"/>
        <v>3.087315</v>
      </c>
      <c r="I46" s="88">
        <f t="shared" si="16"/>
        <v>41.419025999999995</v>
      </c>
      <c r="J46" s="88">
        <f t="shared" si="16"/>
        <v>0.940896</v>
      </c>
      <c r="K46" s="86">
        <f t="shared" si="16"/>
        <v>0.09899010000000001</v>
      </c>
      <c r="L46" s="89">
        <f t="shared" si="16"/>
        <v>0.22944140999999998</v>
      </c>
      <c r="M46" s="90">
        <f t="shared" si="3"/>
        <v>41709439609.43051</v>
      </c>
      <c r="N46" s="90">
        <f t="shared" si="4"/>
        <v>559568545363.344</v>
      </c>
      <c r="O46" s="90">
        <f t="shared" si="5"/>
        <v>12711448261.92168</v>
      </c>
      <c r="P46" s="90">
        <f t="shared" si="6"/>
        <v>1337350285.889677</v>
      </c>
      <c r="Q46" s="90">
        <f t="shared" si="7"/>
        <v>3099739623.0373597</v>
      </c>
      <c r="R46" s="84">
        <v>0.99</v>
      </c>
    </row>
    <row r="47" spans="1:18" ht="12.75">
      <c r="A47" s="84" t="s">
        <v>11</v>
      </c>
      <c r="B47" s="85">
        <f t="shared" si="17"/>
        <v>19713620.26541786</v>
      </c>
      <c r="C47" s="86">
        <f>Mode_Shares!P19</f>
        <v>0.2377778541853186</v>
      </c>
      <c r="D47" s="84">
        <v>1.8</v>
      </c>
      <c r="E47" s="87">
        <f t="shared" si="14"/>
        <v>24871090204.909187</v>
      </c>
      <c r="F47" s="87">
        <f t="shared" si="15"/>
        <v>13817272336.06066</v>
      </c>
      <c r="G47" s="84">
        <v>2013</v>
      </c>
      <c r="H47" s="88">
        <f t="shared" si="18"/>
        <v>3.0564418499999997</v>
      </c>
      <c r="I47" s="88">
        <f t="shared" si="16"/>
        <v>41.00483574</v>
      </c>
      <c r="J47" s="88">
        <f t="shared" si="16"/>
        <v>0.9314870399999999</v>
      </c>
      <c r="K47" s="86">
        <f t="shared" si="16"/>
        <v>0.09800019900000001</v>
      </c>
      <c r="L47" s="89">
        <f t="shared" si="16"/>
        <v>0.22714699589999998</v>
      </c>
      <c r="M47" s="90">
        <f t="shared" si="3"/>
        <v>42231689420.78306</v>
      </c>
      <c r="N47" s="90">
        <f t="shared" si="4"/>
        <v>566574982515.0134</v>
      </c>
      <c r="O47" s="90">
        <f t="shared" si="5"/>
        <v>12870610109.191029</v>
      </c>
      <c r="P47" s="90">
        <f t="shared" si="6"/>
        <v>1354095438.5711396</v>
      </c>
      <c r="Q47" s="90">
        <f t="shared" si="7"/>
        <v>3138551902.6683536</v>
      </c>
      <c r="R47" s="84">
        <v>0.99</v>
      </c>
    </row>
    <row r="48" spans="1:18" ht="12.75">
      <c r="A48" s="84" t="s">
        <v>11</v>
      </c>
      <c r="B48" s="85">
        <f t="shared" si="17"/>
        <v>20009324.569399126</v>
      </c>
      <c r="C48" s="86">
        <f>Mode_Shares!P20</f>
        <v>0.23696728368311729</v>
      </c>
      <c r="D48" s="84">
        <v>1.8</v>
      </c>
      <c r="E48" s="87">
        <f t="shared" si="14"/>
        <v>25430750103.719906</v>
      </c>
      <c r="F48" s="87">
        <f t="shared" si="15"/>
        <v>14128194502.066614</v>
      </c>
      <c r="G48" s="84">
        <v>2014</v>
      </c>
      <c r="H48" s="88">
        <f t="shared" si="18"/>
        <v>3.0258774314999997</v>
      </c>
      <c r="I48" s="88">
        <f t="shared" si="16"/>
        <v>40.594787382599996</v>
      </c>
      <c r="J48" s="88">
        <f t="shared" si="16"/>
        <v>0.9221721695999999</v>
      </c>
      <c r="K48" s="86">
        <f t="shared" si="16"/>
        <v>0.09702019701</v>
      </c>
      <c r="L48" s="89">
        <f t="shared" si="16"/>
        <v>0.224875525941</v>
      </c>
      <c r="M48" s="90">
        <f t="shared" si="3"/>
        <v>42750184891.645744</v>
      </c>
      <c r="N48" s="90">
        <f t="shared" si="4"/>
        <v>573531051911.4125</v>
      </c>
      <c r="O48" s="90">
        <f t="shared" si="5"/>
        <v>13028627776.50156</v>
      </c>
      <c r="P48" s="90">
        <f t="shared" si="6"/>
        <v>1370720213.9861019</v>
      </c>
      <c r="Q48" s="90">
        <f t="shared" si="7"/>
        <v>3177085169.2489743</v>
      </c>
      <c r="R48" s="84">
        <v>0.99</v>
      </c>
    </row>
    <row r="49" spans="1:18" ht="12.75">
      <c r="A49" s="84" t="s">
        <v>11</v>
      </c>
      <c r="B49" s="85">
        <f t="shared" si="17"/>
        <v>20309464.43794011</v>
      </c>
      <c r="C49" s="86">
        <f>Mode_Shares!P21</f>
        <v>0.23610038140345166</v>
      </c>
      <c r="D49" s="84">
        <v>1.8</v>
      </c>
      <c r="E49" s="87">
        <f t="shared" si="14"/>
        <v>25996496891.412426</v>
      </c>
      <c r="F49" s="87">
        <f t="shared" si="15"/>
        <v>14442498273.006903</v>
      </c>
      <c r="G49" s="84">
        <v>2015</v>
      </c>
      <c r="H49" s="88">
        <f t="shared" si="18"/>
        <v>2.9956186571849996</v>
      </c>
      <c r="I49" s="88">
        <f t="shared" si="16"/>
        <v>40.188839508773995</v>
      </c>
      <c r="J49" s="88">
        <f t="shared" si="16"/>
        <v>0.9129504479039999</v>
      </c>
      <c r="K49" s="86">
        <f t="shared" si="16"/>
        <v>0.0960499950399</v>
      </c>
      <c r="L49" s="89">
        <f t="shared" si="16"/>
        <v>0.22262677068158998</v>
      </c>
      <c r="M49" s="90">
        <f t="shared" si="3"/>
        <v>43264217282.98161</v>
      </c>
      <c r="N49" s="90">
        <f t="shared" si="4"/>
        <v>580427245199.62</v>
      </c>
      <c r="O49" s="90">
        <f t="shared" si="5"/>
        <v>13185285267.194397</v>
      </c>
      <c r="P49" s="90">
        <f t="shared" si="6"/>
        <v>1387201887.4860773</v>
      </c>
      <c r="Q49" s="90">
        <f t="shared" si="7"/>
        <v>3215286751.093967</v>
      </c>
      <c r="R49" s="84">
        <v>0.99</v>
      </c>
    </row>
    <row r="50" spans="1:18" ht="12.75">
      <c r="A50" s="84" t="s">
        <v>11</v>
      </c>
      <c r="B50" s="85">
        <f t="shared" si="17"/>
        <v>20614106.40450921</v>
      </c>
      <c r="C50" s="86">
        <f>Mode_Shares!P22</f>
        <v>0.24432056827996443</v>
      </c>
      <c r="D50" s="84">
        <v>1.8</v>
      </c>
      <c r="E50" s="87">
        <f t="shared" si="14"/>
        <v>27601045395.607723</v>
      </c>
      <c r="F50" s="87">
        <f t="shared" si="15"/>
        <v>15333914108.670958</v>
      </c>
      <c r="G50" s="84">
        <v>2016</v>
      </c>
      <c r="H50" s="88">
        <f t="shared" si="18"/>
        <v>2.9357062840412995</v>
      </c>
      <c r="I50" s="88">
        <f t="shared" si="16"/>
        <v>39.38506271859851</v>
      </c>
      <c r="J50" s="88">
        <f t="shared" si="16"/>
        <v>0.89469143894592</v>
      </c>
      <c r="K50" s="86">
        <f t="shared" si="16"/>
        <v>0.094128995139102</v>
      </c>
      <c r="L50" s="89">
        <f t="shared" si="16"/>
        <v>0.21817423526795818</v>
      </c>
      <c r="M50" s="90">
        <f t="shared" si="3"/>
        <v>45015868007.77487</v>
      </c>
      <c r="N50" s="90">
        <f t="shared" si="4"/>
        <v>603927168891.6083</v>
      </c>
      <c r="O50" s="90">
        <f t="shared" si="5"/>
        <v>13719121678.559963</v>
      </c>
      <c r="P50" s="90">
        <f t="shared" si="6"/>
        <v>1443365926.5984962</v>
      </c>
      <c r="Q50" s="90">
        <f t="shared" si="7"/>
        <v>3345464984.3238406</v>
      </c>
      <c r="R50" s="84">
        <v>0.98</v>
      </c>
    </row>
    <row r="51" spans="1:18" ht="12.75">
      <c r="A51" s="84" t="s">
        <v>11</v>
      </c>
      <c r="B51" s="85">
        <f t="shared" si="17"/>
        <v>20923318.000576846</v>
      </c>
      <c r="C51" s="86">
        <f>Mode_Shares!P23</f>
        <v>0.24354533698666303</v>
      </c>
      <c r="D51" s="84">
        <v>1.8</v>
      </c>
      <c r="E51" s="87">
        <f t="shared" si="14"/>
        <v>28228817180.909206</v>
      </c>
      <c r="F51" s="87">
        <f t="shared" si="15"/>
        <v>15682676211.616226</v>
      </c>
      <c r="G51" s="84">
        <v>2017</v>
      </c>
      <c r="H51" s="88">
        <f t="shared" si="18"/>
        <v>2.8769921583604736</v>
      </c>
      <c r="I51" s="88">
        <f t="shared" si="16"/>
        <v>38.59736146422654</v>
      </c>
      <c r="J51" s="88">
        <f t="shared" si="16"/>
        <v>0.8767976101670015</v>
      </c>
      <c r="K51" s="86">
        <f t="shared" si="16"/>
        <v>0.09224641523631996</v>
      </c>
      <c r="L51" s="89">
        <f t="shared" si="16"/>
        <v>0.21381075056259902</v>
      </c>
      <c r="M51" s="90">
        <f t="shared" si="3"/>
        <v>45118936482.92622</v>
      </c>
      <c r="N51" s="90">
        <f t="shared" si="4"/>
        <v>605309922466.1783</v>
      </c>
      <c r="O51" s="90">
        <f t="shared" si="5"/>
        <v>13750533023.367992</v>
      </c>
      <c r="P51" s="90">
        <f t="shared" si="6"/>
        <v>1446670661.8335078</v>
      </c>
      <c r="Q51" s="90">
        <f t="shared" si="7"/>
        <v>3353124771.6358824</v>
      </c>
      <c r="R51" s="84">
        <v>0.98</v>
      </c>
    </row>
    <row r="52" spans="1:18" ht="12.75">
      <c r="A52" s="84" t="s">
        <v>11</v>
      </c>
      <c r="B52" s="85">
        <f t="shared" si="17"/>
        <v>21237167.770585496</v>
      </c>
      <c r="C52" s="86">
        <f>Mode_Shares!P24</f>
        <v>0.24529454274005058</v>
      </c>
      <c r="D52" s="84">
        <v>1.8</v>
      </c>
      <c r="E52" s="87">
        <f t="shared" si="14"/>
        <v>29170784525.17131</v>
      </c>
      <c r="F52" s="87">
        <f t="shared" si="15"/>
        <v>16205991402.87295</v>
      </c>
      <c r="G52" s="84">
        <v>2018</v>
      </c>
      <c r="H52" s="88">
        <f t="shared" si="18"/>
        <v>2.819452315193264</v>
      </c>
      <c r="I52" s="88">
        <f t="shared" si="16"/>
        <v>37.82541423494201</v>
      </c>
      <c r="J52" s="88">
        <f t="shared" si="16"/>
        <v>0.8592616579636615</v>
      </c>
      <c r="K52" s="86">
        <f t="shared" si="16"/>
        <v>0.09040148693159356</v>
      </c>
      <c r="L52" s="89">
        <f t="shared" si="16"/>
        <v>0.20953453555134705</v>
      </c>
      <c r="M52" s="90">
        <f t="shared" si="3"/>
        <v>45692019980.83227</v>
      </c>
      <c r="N52" s="90">
        <f t="shared" si="4"/>
        <v>612998337901.5782</v>
      </c>
      <c r="O52" s="90">
        <f t="shared" si="5"/>
        <v>13925187041.777454</v>
      </c>
      <c r="P52" s="90">
        <f t="shared" si="6"/>
        <v>1465045720.0203364</v>
      </c>
      <c r="Q52" s="90">
        <f t="shared" si="7"/>
        <v>3395714881.750107</v>
      </c>
      <c r="R52" s="84">
        <v>0.98</v>
      </c>
    </row>
    <row r="53" spans="1:18" ht="12.75">
      <c r="A53" s="84" t="s">
        <v>11</v>
      </c>
      <c r="B53" s="85">
        <f t="shared" si="17"/>
        <v>21555725.287144277</v>
      </c>
      <c r="C53" s="86">
        <f>Mode_Shares!P25</f>
        <v>0.24446356523606827</v>
      </c>
      <c r="D53" s="84">
        <v>1.8</v>
      </c>
      <c r="E53" s="87">
        <f t="shared" si="14"/>
        <v>29827834519.498074</v>
      </c>
      <c r="F53" s="87">
        <f t="shared" si="15"/>
        <v>16571019177.49893</v>
      </c>
      <c r="G53" s="84">
        <v>2019</v>
      </c>
      <c r="H53" s="88">
        <f t="shared" si="18"/>
        <v>2.7630632688893986</v>
      </c>
      <c r="I53" s="88">
        <f t="shared" si="16"/>
        <v>37.06890595024317</v>
      </c>
      <c r="J53" s="88">
        <f t="shared" si="16"/>
        <v>0.8420764248043883</v>
      </c>
      <c r="K53" s="86">
        <f t="shared" si="16"/>
        <v>0.08859345719296169</v>
      </c>
      <c r="L53" s="89">
        <f t="shared" si="16"/>
        <v>0.2053438448403201</v>
      </c>
      <c r="M53" s="90">
        <f t="shared" si="3"/>
        <v>45786774417.4091</v>
      </c>
      <c r="N53" s="90">
        <f t="shared" si="4"/>
        <v>614269551390.3838</v>
      </c>
      <c r="O53" s="90">
        <f t="shared" si="5"/>
        <v>13954064584.353254</v>
      </c>
      <c r="P53" s="90">
        <f t="shared" si="6"/>
        <v>1468083878.1454988</v>
      </c>
      <c r="Q53" s="90">
        <f t="shared" si="7"/>
        <v>3402756790.830309</v>
      </c>
      <c r="R53" s="84">
        <v>0.98</v>
      </c>
    </row>
    <row r="54" spans="1:18" ht="12.75">
      <c r="A54" s="84" t="s">
        <v>11</v>
      </c>
      <c r="B54" s="85">
        <f t="shared" si="17"/>
        <v>21879061.16645144</v>
      </c>
      <c r="C54" s="86">
        <f>Mode_Shares!P26</f>
        <v>0.2435656471030691</v>
      </c>
      <c r="D54" s="84">
        <v>1.8</v>
      </c>
      <c r="E54" s="87">
        <f t="shared" si="14"/>
        <v>30490951649.39573</v>
      </c>
      <c r="F54" s="87">
        <f t="shared" si="15"/>
        <v>16939417582.997627</v>
      </c>
      <c r="G54" s="84">
        <v>2020</v>
      </c>
      <c r="H54" s="88">
        <f t="shared" si="18"/>
        <v>2.7078020035116106</v>
      </c>
      <c r="I54" s="88">
        <f t="shared" si="16"/>
        <v>36.32752783123831</v>
      </c>
      <c r="J54" s="88">
        <f t="shared" si="16"/>
        <v>0.8252348963083005</v>
      </c>
      <c r="K54" s="86">
        <f t="shared" si="16"/>
        <v>0.08682158804910245</v>
      </c>
      <c r="L54" s="89">
        <f t="shared" si="16"/>
        <v>0.20123696794351367</v>
      </c>
      <c r="M54" s="90">
        <f t="shared" si="3"/>
        <v>45868588869.560776</v>
      </c>
      <c r="N54" s="90">
        <f t="shared" si="4"/>
        <v>615367163691.3138</v>
      </c>
      <c r="O54" s="90">
        <f t="shared" si="5"/>
        <v>13978998512.62805</v>
      </c>
      <c r="P54" s="90">
        <f t="shared" si="6"/>
        <v>1470707135.1827426</v>
      </c>
      <c r="Q54" s="90">
        <f t="shared" si="7"/>
        <v>3408837033.1314855</v>
      </c>
      <c r="R54" s="84">
        <v>0.98</v>
      </c>
    </row>
    <row r="55" spans="1:18" ht="12.75">
      <c r="A55" s="77" t="s">
        <v>12</v>
      </c>
      <c r="B55" s="78">
        <f>$B$1</f>
        <v>17500000</v>
      </c>
      <c r="C55" s="79">
        <f>Mode_Shares!U11</f>
        <v>0.08922988692704334</v>
      </c>
      <c r="D55" s="80">
        <v>9.4</v>
      </c>
      <c r="E55" s="81">
        <f aca="true" t="shared" si="19" ref="E55:E70">F87*C55</f>
        <v>7834181074.201646</v>
      </c>
      <c r="F55" s="81">
        <f t="shared" si="15"/>
        <v>833423518.53209</v>
      </c>
      <c r="G55" s="77">
        <v>2005</v>
      </c>
      <c r="H55" s="82">
        <v>7.57</v>
      </c>
      <c r="I55" s="82">
        <v>82.63</v>
      </c>
      <c r="J55" s="82">
        <v>2.61</v>
      </c>
      <c r="K55" s="79">
        <v>0.029</v>
      </c>
      <c r="L55" s="83">
        <v>0.11497</v>
      </c>
      <c r="M55" s="80">
        <f t="shared" si="3"/>
        <v>6309016035.287921</v>
      </c>
      <c r="N55" s="80">
        <f t="shared" si="4"/>
        <v>68865785336.3066</v>
      </c>
      <c r="O55" s="80">
        <f t="shared" si="5"/>
        <v>2175235383.368755</v>
      </c>
      <c r="P55" s="80">
        <f t="shared" si="6"/>
        <v>24169282.03743061</v>
      </c>
      <c r="Q55" s="80">
        <f t="shared" si="7"/>
        <v>95818701.92563438</v>
      </c>
      <c r="R55" s="77"/>
    </row>
    <row r="56" spans="1:18" ht="12.75">
      <c r="A56" s="77" t="s">
        <v>12</v>
      </c>
      <c r="B56" s="78">
        <f>B55*(1+$B$2)</f>
        <v>17762500</v>
      </c>
      <c r="C56" s="79">
        <f>Mode_Shares!U12</f>
        <v>0.08117432131729353</v>
      </c>
      <c r="D56" s="80">
        <v>9.4</v>
      </c>
      <c r="E56" s="81">
        <f t="shared" si="19"/>
        <v>7312220679.319387</v>
      </c>
      <c r="F56" s="81">
        <f t="shared" si="15"/>
        <v>777895816.948871</v>
      </c>
      <c r="G56" s="77">
        <v>2006</v>
      </c>
      <c r="H56" s="82">
        <f>H55*$R56</f>
        <v>7.4186000000000005</v>
      </c>
      <c r="I56" s="82">
        <f aca="true" t="shared" si="20" ref="I56:L70">I55*$R56</f>
        <v>80.97739999999999</v>
      </c>
      <c r="J56" s="82">
        <f t="shared" si="20"/>
        <v>2.5578</v>
      </c>
      <c r="K56" s="79">
        <f t="shared" si="20"/>
        <v>0.02842</v>
      </c>
      <c r="L56" s="83">
        <f t="shared" si="20"/>
        <v>0.1126706</v>
      </c>
      <c r="M56" s="80">
        <f t="shared" si="3"/>
        <v>5770897907.616895</v>
      </c>
      <c r="N56" s="80">
        <f t="shared" si="4"/>
        <v>62991980727.3955</v>
      </c>
      <c r="O56" s="80">
        <f t="shared" si="5"/>
        <v>1989701920.5918221</v>
      </c>
      <c r="P56" s="80">
        <f t="shared" si="6"/>
        <v>22107799.117686916</v>
      </c>
      <c r="Q56" s="80">
        <f t="shared" si="7"/>
        <v>87645988.43311946</v>
      </c>
      <c r="R56" s="77">
        <v>0.98</v>
      </c>
    </row>
    <row r="57" spans="1:18" ht="12.75">
      <c r="A57" s="77" t="s">
        <v>12</v>
      </c>
      <c r="B57" s="78">
        <f aca="true" t="shared" si="21" ref="B57:B70">B56*(1+$B$2)</f>
        <v>18028937.5</v>
      </c>
      <c r="C57" s="79">
        <f>Mode_Shares!U13</f>
        <v>0.08325245925982329</v>
      </c>
      <c r="D57" s="80">
        <v>9.4</v>
      </c>
      <c r="E57" s="81">
        <f t="shared" si="19"/>
        <v>7694405241.428388</v>
      </c>
      <c r="F57" s="81">
        <f t="shared" si="15"/>
        <v>818553749.0881263</v>
      </c>
      <c r="G57" s="77">
        <v>2007</v>
      </c>
      <c r="H57" s="82">
        <f aca="true" t="shared" si="22" ref="H57:H70">H56*$R57</f>
        <v>7.270228</v>
      </c>
      <c r="I57" s="82">
        <f t="shared" si="20"/>
        <v>79.357852</v>
      </c>
      <c r="J57" s="82">
        <f t="shared" si="20"/>
        <v>2.5066439999999997</v>
      </c>
      <c r="K57" s="79">
        <f t="shared" si="20"/>
        <v>0.0278516</v>
      </c>
      <c r="L57" s="83">
        <f t="shared" si="20"/>
        <v>0.110417188</v>
      </c>
      <c r="M57" s="80">
        <f t="shared" si="3"/>
        <v>5951072386.12547</v>
      </c>
      <c r="N57" s="80">
        <f t="shared" si="4"/>
        <v>64958667274.18066</v>
      </c>
      <c r="O57" s="80">
        <f t="shared" si="5"/>
        <v>2051822843.829257</v>
      </c>
      <c r="P57" s="80">
        <f t="shared" si="6"/>
        <v>22798031.59810286</v>
      </c>
      <c r="Q57" s="80">
        <f t="shared" si="7"/>
        <v>90382403.20116846</v>
      </c>
      <c r="R57" s="77">
        <v>0.98</v>
      </c>
    </row>
    <row r="58" spans="1:18" ht="12.75">
      <c r="A58" s="77" t="s">
        <v>12</v>
      </c>
      <c r="B58" s="78">
        <f t="shared" si="21"/>
        <v>18299371.5625</v>
      </c>
      <c r="C58" s="79">
        <f>Mode_Shares!U14</f>
        <v>0.08538981872222666</v>
      </c>
      <c r="D58" s="80">
        <v>9.4</v>
      </c>
      <c r="E58" s="81">
        <f t="shared" si="19"/>
        <v>7935193331.405056</v>
      </c>
      <c r="F58" s="81">
        <f t="shared" si="15"/>
        <v>844169503.3409634</v>
      </c>
      <c r="G58" s="77">
        <v>2008</v>
      </c>
      <c r="H58" s="82">
        <f t="shared" si="22"/>
        <v>7.12482344</v>
      </c>
      <c r="I58" s="82">
        <f t="shared" si="20"/>
        <v>77.77069495999999</v>
      </c>
      <c r="J58" s="82">
        <f t="shared" si="20"/>
        <v>2.4565111199999996</v>
      </c>
      <c r="K58" s="79">
        <f t="shared" si="20"/>
        <v>0.027294568</v>
      </c>
      <c r="L58" s="83">
        <f t="shared" si="20"/>
        <v>0.10820884423999999</v>
      </c>
      <c r="M58" s="80">
        <f t="shared" si="3"/>
        <v>6014558664.736855</v>
      </c>
      <c r="N58" s="80">
        <f t="shared" si="4"/>
        <v>65651648938.86475</v>
      </c>
      <c r="O58" s="80">
        <f t="shared" si="5"/>
        <v>2073711772.1219532</v>
      </c>
      <c r="P58" s="80">
        <f t="shared" si="6"/>
        <v>23041241.912466154</v>
      </c>
      <c r="Q58" s="80">
        <f t="shared" si="7"/>
        <v>91346606.29918046</v>
      </c>
      <c r="R58" s="77">
        <v>0.98</v>
      </c>
    </row>
    <row r="59" spans="1:18" ht="12.75">
      <c r="A59" s="77" t="s">
        <v>12</v>
      </c>
      <c r="B59" s="78">
        <f t="shared" si="21"/>
        <v>18573862.135937497</v>
      </c>
      <c r="C59" s="79">
        <f>Mode_Shares!U15</f>
        <v>0.08758775011474747</v>
      </c>
      <c r="D59" s="80">
        <v>9.4</v>
      </c>
      <c r="E59" s="81">
        <f t="shared" si="19"/>
        <v>8351070540.847821</v>
      </c>
      <c r="F59" s="81">
        <f t="shared" si="15"/>
        <v>888411759.6646618</v>
      </c>
      <c r="G59" s="77">
        <v>2009</v>
      </c>
      <c r="H59" s="82">
        <f t="shared" si="22"/>
        <v>6.9823269712</v>
      </c>
      <c r="I59" s="82">
        <f t="shared" si="20"/>
        <v>76.21528106079998</v>
      </c>
      <c r="J59" s="82">
        <f t="shared" si="20"/>
        <v>2.4073808975999995</v>
      </c>
      <c r="K59" s="79">
        <f t="shared" si="20"/>
        <v>0.02674867664</v>
      </c>
      <c r="L59" s="83">
        <f t="shared" si="20"/>
        <v>0.10604466735519999</v>
      </c>
      <c r="M59" s="80">
        <f t="shared" si="3"/>
        <v>6203181391.03782</v>
      </c>
      <c r="N59" s="80">
        <f t="shared" si="4"/>
        <v>67710551960.56208</v>
      </c>
      <c r="O59" s="80">
        <f t="shared" si="5"/>
        <v>2138745499.4199085</v>
      </c>
      <c r="P59" s="80">
        <f t="shared" si="6"/>
        <v>23763838.88244343</v>
      </c>
      <c r="Q59" s="80">
        <f t="shared" si="7"/>
        <v>94211329.52808693</v>
      </c>
      <c r="R59" s="77">
        <v>0.98</v>
      </c>
    </row>
    <row r="60" spans="1:18" ht="12.75">
      <c r="A60" s="77" t="s">
        <v>12</v>
      </c>
      <c r="B60" s="78">
        <f t="shared" si="21"/>
        <v>18852470.067976557</v>
      </c>
      <c r="C60" s="79">
        <f>Mode_Shares!U16</f>
        <v>0.08984759355817078</v>
      </c>
      <c r="D60" s="80">
        <v>9.4</v>
      </c>
      <c r="E60" s="81">
        <f t="shared" si="19"/>
        <v>8701373012.379852</v>
      </c>
      <c r="F60" s="81">
        <f t="shared" si="15"/>
        <v>925677980.0404098</v>
      </c>
      <c r="G60" s="77">
        <v>2010</v>
      </c>
      <c r="H60" s="82">
        <f t="shared" si="22"/>
        <v>6.8426804317759995</v>
      </c>
      <c r="I60" s="82">
        <f t="shared" si="20"/>
        <v>74.69097543958398</v>
      </c>
      <c r="J60" s="82">
        <f t="shared" si="20"/>
        <v>2.3592332796479996</v>
      </c>
      <c r="K60" s="79">
        <f t="shared" si="20"/>
        <v>0.0262137031072</v>
      </c>
      <c r="L60" s="83">
        <f t="shared" si="20"/>
        <v>0.10392377400809599</v>
      </c>
      <c r="M60" s="80">
        <f t="shared" si="3"/>
        <v>6334118600.148446</v>
      </c>
      <c r="N60" s="80">
        <f t="shared" si="4"/>
        <v>69139791272.16196</v>
      </c>
      <c r="O60" s="80">
        <f t="shared" si="5"/>
        <v>2183890296.7486715</v>
      </c>
      <c r="P60" s="80">
        <f t="shared" si="6"/>
        <v>24265447.74165191</v>
      </c>
      <c r="Q60" s="80">
        <f t="shared" si="7"/>
        <v>96199949.20199034</v>
      </c>
      <c r="R60" s="77">
        <v>0.98</v>
      </c>
    </row>
    <row r="61" spans="1:18" ht="12.75">
      <c r="A61" s="77" t="s">
        <v>12</v>
      </c>
      <c r="B61" s="78">
        <f t="shared" si="21"/>
        <v>19135257.118996203</v>
      </c>
      <c r="C61" s="79">
        <f>Mode_Shares!U17</f>
        <v>0.08186792830905629</v>
      </c>
      <c r="D61" s="80">
        <v>9.4</v>
      </c>
      <c r="E61" s="81">
        <f t="shared" si="19"/>
        <v>8134717925.704185</v>
      </c>
      <c r="F61" s="81">
        <f t="shared" si="15"/>
        <v>865395524.0110835</v>
      </c>
      <c r="G61" s="77">
        <v>2011</v>
      </c>
      <c r="H61" s="82">
        <f t="shared" si="22"/>
        <v>6.637400018822719</v>
      </c>
      <c r="I61" s="82">
        <f t="shared" si="20"/>
        <v>72.45024617639646</v>
      </c>
      <c r="J61" s="82">
        <f t="shared" si="20"/>
        <v>2.2884562812585596</v>
      </c>
      <c r="K61" s="79">
        <f t="shared" si="20"/>
        <v>0.025427292013984</v>
      </c>
      <c r="L61" s="83">
        <f t="shared" si="20"/>
        <v>0.1008060607878531</v>
      </c>
      <c r="M61" s="80">
        <f t="shared" si="3"/>
        <v>5743976267.360262</v>
      </c>
      <c r="N61" s="80">
        <f t="shared" si="4"/>
        <v>62698118754.55461</v>
      </c>
      <c r="O61" s="80">
        <f t="shared" si="5"/>
        <v>1980419822.6962066</v>
      </c>
      <c r="P61" s="80">
        <f t="shared" si="6"/>
        <v>22004664.69662452</v>
      </c>
      <c r="Q61" s="80">
        <f t="shared" si="7"/>
        <v>87237113.79899727</v>
      </c>
      <c r="R61" s="77">
        <v>0.97</v>
      </c>
    </row>
    <row r="62" spans="1:18" ht="12.75">
      <c r="A62" s="77" t="s">
        <v>12</v>
      </c>
      <c r="B62" s="78">
        <f t="shared" si="21"/>
        <v>19422285.975781143</v>
      </c>
      <c r="C62" s="79">
        <f>Mode_Shares!U18</f>
        <v>0.0840529439570106</v>
      </c>
      <c r="D62" s="80">
        <v>9.4</v>
      </c>
      <c r="E62" s="81">
        <f t="shared" si="19"/>
        <v>8568977206.859383</v>
      </c>
      <c r="F62" s="81">
        <f t="shared" si="15"/>
        <v>911593319.8786577</v>
      </c>
      <c r="G62" s="77">
        <v>2012</v>
      </c>
      <c r="H62" s="82">
        <f t="shared" si="22"/>
        <v>6.438278018258037</v>
      </c>
      <c r="I62" s="82">
        <f t="shared" si="20"/>
        <v>70.27673879110456</v>
      </c>
      <c r="J62" s="82">
        <f t="shared" si="20"/>
        <v>2.2198025928208027</v>
      </c>
      <c r="K62" s="79">
        <f t="shared" si="20"/>
        <v>0.024664473253564478</v>
      </c>
      <c r="L62" s="83">
        <f t="shared" si="20"/>
        <v>0.09778187896421751</v>
      </c>
      <c r="M62" s="80">
        <f t="shared" si="3"/>
        <v>5869091232.96563</v>
      </c>
      <c r="N62" s="80">
        <f t="shared" si="4"/>
        <v>64063805624.828255</v>
      </c>
      <c r="O62" s="80">
        <f t="shared" si="5"/>
        <v>2023557215.0647678</v>
      </c>
      <c r="P62" s="80">
        <f t="shared" si="6"/>
        <v>22483969.0562752</v>
      </c>
      <c r="Q62" s="80">
        <f t="shared" si="7"/>
        <v>89137307.66896413</v>
      </c>
      <c r="R62" s="77">
        <v>0.97</v>
      </c>
    </row>
    <row r="63" spans="1:18" ht="12.75">
      <c r="A63" s="77" t="s">
        <v>12</v>
      </c>
      <c r="B63" s="78">
        <f t="shared" si="21"/>
        <v>19713620.26541786</v>
      </c>
      <c r="C63" s="79">
        <f>Mode_Shares!U19</f>
        <v>0.08630156527211706</v>
      </c>
      <c r="D63" s="80">
        <v>9.4</v>
      </c>
      <c r="E63" s="81">
        <f t="shared" si="19"/>
        <v>9026971927.481588</v>
      </c>
      <c r="F63" s="81">
        <f t="shared" si="15"/>
        <v>960316162.4980413</v>
      </c>
      <c r="G63" s="77">
        <v>2013</v>
      </c>
      <c r="H63" s="82">
        <f t="shared" si="22"/>
        <v>6.245129677710296</v>
      </c>
      <c r="I63" s="82">
        <f t="shared" si="20"/>
        <v>68.16843662737142</v>
      </c>
      <c r="J63" s="82">
        <f t="shared" si="20"/>
        <v>2.1532085150361784</v>
      </c>
      <c r="K63" s="79">
        <f t="shared" si="20"/>
        <v>0.023924539055957542</v>
      </c>
      <c r="L63" s="83">
        <f t="shared" si="20"/>
        <v>0.09484842259529098</v>
      </c>
      <c r="M63" s="80">
        <f t="shared" si="3"/>
        <v>5997298966.401381</v>
      </c>
      <c r="N63" s="80">
        <f t="shared" si="4"/>
        <v>65463251465.48824</v>
      </c>
      <c r="O63" s="80">
        <f t="shared" si="5"/>
        <v>2067760938.2176487</v>
      </c>
      <c r="P63" s="80">
        <f t="shared" si="6"/>
        <v>22975121.53575166</v>
      </c>
      <c r="Q63" s="80">
        <f t="shared" si="7"/>
        <v>91084473.20570235</v>
      </c>
      <c r="R63" s="77">
        <v>0.97</v>
      </c>
    </row>
    <row r="64" spans="1:18" ht="12.75">
      <c r="A64" s="77" t="s">
        <v>12</v>
      </c>
      <c r="B64" s="78">
        <f t="shared" si="21"/>
        <v>20009324.569399126</v>
      </c>
      <c r="C64" s="79">
        <f>Mode_Shares!U20</f>
        <v>0.08861521594401707</v>
      </c>
      <c r="D64" s="80">
        <v>9.4</v>
      </c>
      <c r="E64" s="81">
        <f t="shared" si="19"/>
        <v>9509968536.724329</v>
      </c>
      <c r="F64" s="81">
        <f t="shared" si="15"/>
        <v>1011698780.5025882</v>
      </c>
      <c r="G64" s="77">
        <v>2014</v>
      </c>
      <c r="H64" s="82">
        <f t="shared" si="22"/>
        <v>6.057775787378987</v>
      </c>
      <c r="I64" s="82">
        <f t="shared" si="20"/>
        <v>66.12338352855028</v>
      </c>
      <c r="J64" s="82">
        <f t="shared" si="20"/>
        <v>2.088612259585093</v>
      </c>
      <c r="K64" s="79">
        <f t="shared" si="20"/>
        <v>0.023206802884278815</v>
      </c>
      <c r="L64" s="83">
        <f t="shared" si="20"/>
        <v>0.09200296991743226</v>
      </c>
      <c r="M64" s="80">
        <f t="shared" si="3"/>
        <v>6128644376.649427</v>
      </c>
      <c r="N64" s="80">
        <f t="shared" si="4"/>
        <v>66896946478.53924</v>
      </c>
      <c r="O64" s="80">
        <f t="shared" si="5"/>
        <v>2113046475.9649935</v>
      </c>
      <c r="P64" s="80">
        <f t="shared" si="6"/>
        <v>23478294.177388825</v>
      </c>
      <c r="Q64" s="80">
        <f t="shared" si="7"/>
        <v>93079292.46808252</v>
      </c>
      <c r="R64" s="77">
        <v>0.97</v>
      </c>
    </row>
    <row r="65" spans="1:18" ht="12.75">
      <c r="A65" s="77" t="s">
        <v>12</v>
      </c>
      <c r="B65" s="78">
        <f t="shared" si="21"/>
        <v>20309464.43794011</v>
      </c>
      <c r="C65" s="79">
        <f>Mode_Shares!U21</f>
        <v>0.09099530090281355</v>
      </c>
      <c r="D65" s="80">
        <v>9.4</v>
      </c>
      <c r="E65" s="81">
        <f t="shared" si="19"/>
        <v>10019293670.732492</v>
      </c>
      <c r="F65" s="81">
        <f t="shared" si="15"/>
        <v>1065882305.3970736</v>
      </c>
      <c r="G65" s="77">
        <v>2015</v>
      </c>
      <c r="H65" s="82">
        <f t="shared" si="22"/>
        <v>5.876042513757618</v>
      </c>
      <c r="I65" s="82">
        <f t="shared" si="20"/>
        <v>64.13968202269376</v>
      </c>
      <c r="J65" s="82">
        <f t="shared" si="20"/>
        <v>2.02595389179754</v>
      </c>
      <c r="K65" s="79">
        <f t="shared" si="20"/>
        <v>0.02251059879775045</v>
      </c>
      <c r="L65" s="83">
        <f t="shared" si="20"/>
        <v>0.08924288081990929</v>
      </c>
      <c r="M65" s="80">
        <f t="shared" si="3"/>
        <v>6263169741.175185</v>
      </c>
      <c r="N65" s="80">
        <f t="shared" si="4"/>
        <v>68365352141.784065</v>
      </c>
      <c r="O65" s="80">
        <f t="shared" si="5"/>
        <v>2159428404.8173356</v>
      </c>
      <c r="P65" s="80">
        <f t="shared" si="6"/>
        <v>23993648.942414843</v>
      </c>
      <c r="Q65" s="80">
        <f t="shared" si="7"/>
        <v>95122407.5486012</v>
      </c>
      <c r="R65" s="77">
        <v>0.97</v>
      </c>
    </row>
    <row r="66" spans="1:18" ht="12.75">
      <c r="A66" s="77" t="s">
        <v>12</v>
      </c>
      <c r="B66" s="78">
        <f t="shared" si="21"/>
        <v>20614106.40450921</v>
      </c>
      <c r="C66" s="79">
        <f>Mode_Shares!U22</f>
        <v>0.07209631855593066</v>
      </c>
      <c r="D66" s="80">
        <v>9.4</v>
      </c>
      <c r="E66" s="81">
        <f t="shared" si="19"/>
        <v>8144765605.809301</v>
      </c>
      <c r="F66" s="81">
        <f t="shared" si="15"/>
        <v>866464426.1499256</v>
      </c>
      <c r="G66" s="77">
        <v>2016</v>
      </c>
      <c r="H66" s="82">
        <f t="shared" si="22"/>
        <v>5.817282088620042</v>
      </c>
      <c r="I66" s="82">
        <f t="shared" si="20"/>
        <v>63.498285202466825</v>
      </c>
      <c r="J66" s="82">
        <f t="shared" si="20"/>
        <v>2.0056943528795648</v>
      </c>
      <c r="K66" s="79">
        <f t="shared" si="20"/>
        <v>0.022285492809772944</v>
      </c>
      <c r="L66" s="83">
        <f t="shared" si="20"/>
        <v>0.0883504520117102</v>
      </c>
      <c r="M66" s="80">
        <f t="shared" si="3"/>
        <v>5040467986.668405</v>
      </c>
      <c r="N66" s="80">
        <f t="shared" si="4"/>
        <v>55019005249.45973</v>
      </c>
      <c r="O66" s="80">
        <f t="shared" si="5"/>
        <v>1737862806.4999385</v>
      </c>
      <c r="P66" s="80">
        <f t="shared" si="6"/>
        <v>19309586.738888208</v>
      </c>
      <c r="Q66" s="80">
        <f t="shared" si="7"/>
        <v>76552523.70241302</v>
      </c>
      <c r="R66" s="77">
        <v>0.99</v>
      </c>
    </row>
    <row r="67" spans="1:18" ht="12.75">
      <c r="A67" s="77" t="s">
        <v>12</v>
      </c>
      <c r="B67" s="78">
        <f t="shared" si="21"/>
        <v>20923318.000576846</v>
      </c>
      <c r="C67" s="79">
        <f>Mode_Shares!U23</f>
        <v>0.07411371830622372</v>
      </c>
      <c r="D67" s="80">
        <v>9.4</v>
      </c>
      <c r="E67" s="81">
        <f t="shared" si="19"/>
        <v>8590361985.77829</v>
      </c>
      <c r="F67" s="81">
        <f t="shared" si="15"/>
        <v>913868296.3593925</v>
      </c>
      <c r="G67" s="77">
        <v>2017</v>
      </c>
      <c r="H67" s="82">
        <f t="shared" si="22"/>
        <v>5.759109267733841</v>
      </c>
      <c r="I67" s="82">
        <f t="shared" si="20"/>
        <v>62.863302350442154</v>
      </c>
      <c r="J67" s="82">
        <f t="shared" si="20"/>
        <v>1.9856374093507692</v>
      </c>
      <c r="K67" s="79">
        <f t="shared" si="20"/>
        <v>0.022062637881675215</v>
      </c>
      <c r="L67" s="83">
        <f t="shared" si="20"/>
        <v>0.08746694749159309</v>
      </c>
      <c r="M67" s="80">
        <f t="shared" si="3"/>
        <v>5263067375.051514</v>
      </c>
      <c r="N67" s="80">
        <f t="shared" si="4"/>
        <v>57448779022.523964</v>
      </c>
      <c r="O67" s="80">
        <f t="shared" si="5"/>
        <v>1814611076.470865</v>
      </c>
      <c r="P67" s="80">
        <f t="shared" si="6"/>
        <v>20162345.294120725</v>
      </c>
      <c r="Q67" s="80">
        <f t="shared" si="7"/>
        <v>79933270.29189862</v>
      </c>
      <c r="R67" s="77">
        <v>0.99</v>
      </c>
    </row>
    <row r="68" spans="1:18" ht="12.75">
      <c r="A68" s="77" t="s">
        <v>12</v>
      </c>
      <c r="B68" s="78">
        <f t="shared" si="21"/>
        <v>21237167.770585496</v>
      </c>
      <c r="C68" s="79">
        <f>Mode_Shares!U24</f>
        <v>0.06635975096444323</v>
      </c>
      <c r="D68" s="80">
        <v>9.4</v>
      </c>
      <c r="E68" s="81">
        <f t="shared" si="19"/>
        <v>7891598300.167725</v>
      </c>
      <c r="F68" s="81">
        <f t="shared" si="15"/>
        <v>839531734.0603962</v>
      </c>
      <c r="G68" s="77">
        <v>2018</v>
      </c>
      <c r="H68" s="82">
        <f t="shared" si="22"/>
        <v>5.701518175056503</v>
      </c>
      <c r="I68" s="82">
        <f t="shared" si="20"/>
        <v>62.234669326937734</v>
      </c>
      <c r="J68" s="82">
        <f t="shared" si="20"/>
        <v>1.9657810352572616</v>
      </c>
      <c r="K68" s="79">
        <f t="shared" si="20"/>
        <v>0.02184201150285846</v>
      </c>
      <c r="L68" s="83">
        <f t="shared" si="20"/>
        <v>0.08659227801667715</v>
      </c>
      <c r="M68" s="80">
        <f t="shared" si="3"/>
        <v>4786605440.282051</v>
      </c>
      <c r="N68" s="80">
        <f t="shared" si="4"/>
        <v>52247979858.71938</v>
      </c>
      <c r="O68" s="80">
        <f t="shared" si="5"/>
        <v>1650335561.3125696</v>
      </c>
      <c r="P68" s="80">
        <f t="shared" si="6"/>
        <v>18337061.792361885</v>
      </c>
      <c r="Q68" s="80">
        <f t="shared" si="7"/>
        <v>72696965.3195809</v>
      </c>
      <c r="R68" s="77">
        <v>0.99</v>
      </c>
    </row>
    <row r="69" spans="1:18" ht="12.75">
      <c r="A69" s="77" t="s">
        <v>12</v>
      </c>
      <c r="B69" s="78">
        <f t="shared" si="21"/>
        <v>21555725.287144277</v>
      </c>
      <c r="C69" s="79">
        <f>Mode_Shares!U25</f>
        <v>0.06824414202529015</v>
      </c>
      <c r="D69" s="80">
        <v>9.4</v>
      </c>
      <c r="E69" s="81">
        <f t="shared" si="19"/>
        <v>8326700845.133339</v>
      </c>
      <c r="F69" s="81">
        <f t="shared" si="15"/>
        <v>885819238.8439722</v>
      </c>
      <c r="G69" s="77">
        <v>2019</v>
      </c>
      <c r="H69" s="82">
        <f t="shared" si="22"/>
        <v>5.644502993305938</v>
      </c>
      <c r="I69" s="82">
        <f t="shared" si="20"/>
        <v>61.612322633668356</v>
      </c>
      <c r="J69" s="82">
        <f t="shared" si="20"/>
        <v>1.946123224904689</v>
      </c>
      <c r="K69" s="79">
        <f t="shared" si="20"/>
        <v>0.021623591387829877</v>
      </c>
      <c r="L69" s="83">
        <f t="shared" si="20"/>
        <v>0.08572635523651038</v>
      </c>
      <c r="M69" s="80">
        <f t="shared" si="3"/>
        <v>5000009345.182789</v>
      </c>
      <c r="N69" s="80">
        <f t="shared" si="4"/>
        <v>54577380738.76534</v>
      </c>
      <c r="O69" s="80">
        <f t="shared" si="5"/>
        <v>1723913393.7816482</v>
      </c>
      <c r="P69" s="80">
        <f t="shared" si="6"/>
        <v>19154593.264240533</v>
      </c>
      <c r="Q69" s="80">
        <f t="shared" si="7"/>
        <v>75938054.7444736</v>
      </c>
      <c r="R69" s="77">
        <v>0.99</v>
      </c>
    </row>
    <row r="70" spans="1:18" ht="12.75">
      <c r="A70" s="77" t="s">
        <v>12</v>
      </c>
      <c r="B70" s="78">
        <f t="shared" si="21"/>
        <v>21879061.16645144</v>
      </c>
      <c r="C70" s="79">
        <f>Mode_Shares!U26</f>
        <v>0.07018606774853717</v>
      </c>
      <c r="D70" s="80">
        <v>9.4</v>
      </c>
      <c r="E70" s="81">
        <f t="shared" si="19"/>
        <v>8786296522.663</v>
      </c>
      <c r="F70" s="81">
        <f t="shared" si="15"/>
        <v>934712396.0279787</v>
      </c>
      <c r="G70" s="77">
        <v>2020</v>
      </c>
      <c r="H70" s="82">
        <f t="shared" si="22"/>
        <v>5.588057963372878</v>
      </c>
      <c r="I70" s="82">
        <f t="shared" si="20"/>
        <v>60.99619940733167</v>
      </c>
      <c r="J70" s="82">
        <f t="shared" si="20"/>
        <v>1.926661992655642</v>
      </c>
      <c r="K70" s="79">
        <f t="shared" si="20"/>
        <v>0.02140735547395158</v>
      </c>
      <c r="L70" s="83">
        <f t="shared" si="20"/>
        <v>0.08486909168414528</v>
      </c>
      <c r="M70" s="80">
        <f t="shared" si="3"/>
        <v>5223227048.08749</v>
      </c>
      <c r="N70" s="80">
        <f t="shared" si="4"/>
        <v>57013903696.62736</v>
      </c>
      <c r="O70" s="80">
        <f t="shared" si="5"/>
        <v>1800874847.491195</v>
      </c>
      <c r="P70" s="80">
        <f t="shared" si="6"/>
        <v>20009720.527679946</v>
      </c>
      <c r="Q70" s="80">
        <f t="shared" si="7"/>
        <v>79328192.03680563</v>
      </c>
      <c r="R70" s="77">
        <v>0.99</v>
      </c>
    </row>
    <row r="71" spans="1:18" ht="12.75">
      <c r="A71" s="91" t="s">
        <v>17</v>
      </c>
      <c r="B71" s="92">
        <f>$B$1</f>
        <v>17500000</v>
      </c>
      <c r="C71" s="93">
        <f>Mode_Shares!Z11</f>
        <v>0.1442389124068557</v>
      </c>
      <c r="D71" s="91">
        <v>62</v>
      </c>
      <c r="E71" s="94">
        <f aca="true" t="shared" si="23" ref="E71:E86">F87*C71</f>
        <v>12663848365.796206</v>
      </c>
      <c r="F71" s="94">
        <f aca="true" t="shared" si="24" ref="F71:F86">E71/D71</f>
        <v>204255618.8031646</v>
      </c>
      <c r="G71" s="91">
        <v>2005</v>
      </c>
      <c r="H71" s="95">
        <v>0</v>
      </c>
      <c r="I71" s="95">
        <v>0</v>
      </c>
      <c r="J71" s="95">
        <v>0</v>
      </c>
      <c r="K71" s="93">
        <v>0</v>
      </c>
      <c r="L71" s="96">
        <v>0</v>
      </c>
      <c r="M71" s="97">
        <f t="shared" si="3"/>
        <v>0</v>
      </c>
      <c r="N71" s="97">
        <f t="shared" si="4"/>
        <v>0</v>
      </c>
      <c r="O71" s="97">
        <f t="shared" si="5"/>
        <v>0</v>
      </c>
      <c r="P71" s="97">
        <f t="shared" si="6"/>
        <v>0</v>
      </c>
      <c r="Q71" s="97">
        <f t="shared" si="7"/>
        <v>0</v>
      </c>
      <c r="R71" s="91"/>
    </row>
    <row r="72" spans="1:18" ht="12.75">
      <c r="A72" s="91" t="s">
        <v>17</v>
      </c>
      <c r="B72" s="92">
        <f>B71*(1+$B$2)</f>
        <v>17762500</v>
      </c>
      <c r="C72" s="93">
        <f>Mode_Shares!Z12</f>
        <v>0.1349185829460521</v>
      </c>
      <c r="D72" s="91">
        <v>62</v>
      </c>
      <c r="E72" s="94">
        <f t="shared" si="23"/>
        <v>12153528803.60224</v>
      </c>
      <c r="F72" s="94">
        <f t="shared" si="24"/>
        <v>196024658.12261677</v>
      </c>
      <c r="G72" s="91">
        <v>2006</v>
      </c>
      <c r="H72" s="95">
        <f>H71*$R72</f>
        <v>0</v>
      </c>
      <c r="I72" s="95">
        <f aca="true" t="shared" si="25" ref="I72:L86">I71*$R72</f>
        <v>0</v>
      </c>
      <c r="J72" s="95">
        <f t="shared" si="25"/>
        <v>0</v>
      </c>
      <c r="K72" s="93">
        <f t="shared" si="25"/>
        <v>0</v>
      </c>
      <c r="L72" s="96">
        <f t="shared" si="25"/>
        <v>0</v>
      </c>
      <c r="M72" s="97">
        <f aca="true" t="shared" si="26" ref="M72:M86">H72*$F72</f>
        <v>0</v>
      </c>
      <c r="N72" s="97">
        <f aca="true" t="shared" si="27" ref="N72:N86">I72*$F72</f>
        <v>0</v>
      </c>
      <c r="O72" s="97">
        <f aca="true" t="shared" si="28" ref="O72:O86">J72*$F72</f>
        <v>0</v>
      </c>
      <c r="P72" s="97">
        <f aca="true" t="shared" si="29" ref="P72:P86">K72*$F72</f>
        <v>0</v>
      </c>
      <c r="Q72" s="97">
        <f aca="true" t="shared" si="30" ref="Q72:Q86">L72*$F72</f>
        <v>0</v>
      </c>
      <c r="R72" s="91">
        <v>1</v>
      </c>
    </row>
    <row r="73" spans="1:18" ht="12.75">
      <c r="A73" s="91" t="s">
        <v>17</v>
      </c>
      <c r="B73" s="92">
        <f aca="true" t="shared" si="31" ref="B73:B86">B72*(1+$B$2)</f>
        <v>18028937.5</v>
      </c>
      <c r="C73" s="93">
        <f>Mode_Shares!Z13</f>
        <v>0.1381028150822271</v>
      </c>
      <c r="D73" s="91">
        <v>62</v>
      </c>
      <c r="E73" s="94">
        <f t="shared" si="23"/>
        <v>12763815431.666313</v>
      </c>
      <c r="F73" s="94">
        <f t="shared" si="24"/>
        <v>205867990.83332762</v>
      </c>
      <c r="G73" s="91">
        <v>2007</v>
      </c>
      <c r="H73" s="95">
        <f aca="true" t="shared" si="32" ref="H73:H86">H72*$R73</f>
        <v>0</v>
      </c>
      <c r="I73" s="95">
        <f t="shared" si="25"/>
        <v>0</v>
      </c>
      <c r="J73" s="95">
        <f t="shared" si="25"/>
        <v>0</v>
      </c>
      <c r="K73" s="93">
        <f t="shared" si="25"/>
        <v>0</v>
      </c>
      <c r="L73" s="96">
        <f t="shared" si="25"/>
        <v>0</v>
      </c>
      <c r="M73" s="97">
        <f t="shared" si="26"/>
        <v>0</v>
      </c>
      <c r="N73" s="97">
        <f t="shared" si="27"/>
        <v>0</v>
      </c>
      <c r="O73" s="97">
        <f t="shared" si="28"/>
        <v>0</v>
      </c>
      <c r="P73" s="97">
        <f t="shared" si="29"/>
        <v>0</v>
      </c>
      <c r="Q73" s="97">
        <f t="shared" si="30"/>
        <v>0</v>
      </c>
      <c r="R73" s="91">
        <v>1</v>
      </c>
    </row>
    <row r="74" spans="1:18" ht="12.75">
      <c r="A74" s="91" t="s">
        <v>17</v>
      </c>
      <c r="B74" s="92">
        <f t="shared" si="31"/>
        <v>18299371.5625</v>
      </c>
      <c r="C74" s="93">
        <f>Mode_Shares!Z14</f>
        <v>0.14136940502499218</v>
      </c>
      <c r="D74" s="91">
        <v>62</v>
      </c>
      <c r="E74" s="94">
        <f t="shared" si="23"/>
        <v>13137322186.714277</v>
      </c>
      <c r="F74" s="94">
        <f t="shared" si="24"/>
        <v>211892293.33410126</v>
      </c>
      <c r="G74" s="91">
        <v>2008</v>
      </c>
      <c r="H74" s="95">
        <f t="shared" si="32"/>
        <v>0</v>
      </c>
      <c r="I74" s="95">
        <f t="shared" si="25"/>
        <v>0</v>
      </c>
      <c r="J74" s="95">
        <f t="shared" si="25"/>
        <v>0</v>
      </c>
      <c r="K74" s="93">
        <f t="shared" si="25"/>
        <v>0</v>
      </c>
      <c r="L74" s="96">
        <f t="shared" si="25"/>
        <v>0</v>
      </c>
      <c r="M74" s="97">
        <f t="shared" si="26"/>
        <v>0</v>
      </c>
      <c r="N74" s="97">
        <f t="shared" si="27"/>
        <v>0</v>
      </c>
      <c r="O74" s="97">
        <f t="shared" si="28"/>
        <v>0</v>
      </c>
      <c r="P74" s="97">
        <f t="shared" si="29"/>
        <v>0</v>
      </c>
      <c r="Q74" s="97">
        <f t="shared" si="30"/>
        <v>0</v>
      </c>
      <c r="R74" s="91">
        <v>1</v>
      </c>
    </row>
    <row r="75" spans="1:18" ht="12.75">
      <c r="A75" s="91" t="s">
        <v>17</v>
      </c>
      <c r="B75" s="92">
        <f t="shared" si="31"/>
        <v>18573862.135937497</v>
      </c>
      <c r="C75" s="93">
        <f>Mode_Shares!Z15</f>
        <v>0.14471982435224773</v>
      </c>
      <c r="D75" s="91">
        <v>62</v>
      </c>
      <c r="E75" s="94">
        <f t="shared" si="23"/>
        <v>13798338925.72195</v>
      </c>
      <c r="F75" s="94">
        <f t="shared" si="24"/>
        <v>222553853.64067662</v>
      </c>
      <c r="G75" s="91">
        <v>2009</v>
      </c>
      <c r="H75" s="95">
        <f t="shared" si="32"/>
        <v>0</v>
      </c>
      <c r="I75" s="95">
        <f t="shared" si="25"/>
        <v>0</v>
      </c>
      <c r="J75" s="95">
        <f t="shared" si="25"/>
        <v>0</v>
      </c>
      <c r="K75" s="93">
        <f t="shared" si="25"/>
        <v>0</v>
      </c>
      <c r="L75" s="96">
        <f t="shared" si="25"/>
        <v>0</v>
      </c>
      <c r="M75" s="97">
        <f t="shared" si="26"/>
        <v>0</v>
      </c>
      <c r="N75" s="97">
        <f t="shared" si="27"/>
        <v>0</v>
      </c>
      <c r="O75" s="97">
        <f t="shared" si="28"/>
        <v>0</v>
      </c>
      <c r="P75" s="97">
        <f t="shared" si="29"/>
        <v>0</v>
      </c>
      <c r="Q75" s="97">
        <f t="shared" si="30"/>
        <v>0</v>
      </c>
      <c r="R75" s="91">
        <v>1</v>
      </c>
    </row>
    <row r="76" spans="1:18" ht="12.75">
      <c r="A76" s="91" t="s">
        <v>17</v>
      </c>
      <c r="B76" s="92">
        <f t="shared" si="31"/>
        <v>18852470.067976557</v>
      </c>
      <c r="C76" s="93">
        <f>Mode_Shares!Z16</f>
        <v>0.1481554992580707</v>
      </c>
      <c r="D76" s="91">
        <v>62</v>
      </c>
      <c r="E76" s="94">
        <f t="shared" si="23"/>
        <v>14348255883.394257</v>
      </c>
      <c r="F76" s="94">
        <f t="shared" si="24"/>
        <v>231423481.99022993</v>
      </c>
      <c r="G76" s="91">
        <v>2010</v>
      </c>
      <c r="H76" s="95">
        <f t="shared" si="32"/>
        <v>0</v>
      </c>
      <c r="I76" s="95">
        <f t="shared" si="25"/>
        <v>0</v>
      </c>
      <c r="J76" s="95">
        <f t="shared" si="25"/>
        <v>0</v>
      </c>
      <c r="K76" s="93">
        <f t="shared" si="25"/>
        <v>0</v>
      </c>
      <c r="L76" s="96">
        <f t="shared" si="25"/>
        <v>0</v>
      </c>
      <c r="M76" s="97">
        <f t="shared" si="26"/>
        <v>0</v>
      </c>
      <c r="N76" s="97">
        <f t="shared" si="27"/>
        <v>0</v>
      </c>
      <c r="O76" s="97">
        <f t="shared" si="28"/>
        <v>0</v>
      </c>
      <c r="P76" s="97">
        <f t="shared" si="29"/>
        <v>0</v>
      </c>
      <c r="Q76" s="97">
        <f t="shared" si="30"/>
        <v>0</v>
      </c>
      <c r="R76" s="91">
        <v>1</v>
      </c>
    </row>
    <row r="77" spans="1:18" ht="12.75">
      <c r="A77" s="91" t="s">
        <v>17</v>
      </c>
      <c r="B77" s="92">
        <f t="shared" si="31"/>
        <v>19135257.118996203</v>
      </c>
      <c r="C77" s="93">
        <f>Mode_Shares!Z17</f>
        <v>0.13879164572005606</v>
      </c>
      <c r="D77" s="91">
        <v>62</v>
      </c>
      <c r="E77" s="94">
        <f t="shared" si="23"/>
        <v>13790881382.936258</v>
      </c>
      <c r="F77" s="94">
        <f t="shared" si="24"/>
        <v>222433570.6925203</v>
      </c>
      <c r="G77" s="91">
        <v>2011</v>
      </c>
      <c r="H77" s="95">
        <f t="shared" si="32"/>
        <v>0</v>
      </c>
      <c r="I77" s="95">
        <f t="shared" si="25"/>
        <v>0</v>
      </c>
      <c r="J77" s="95">
        <f t="shared" si="25"/>
        <v>0</v>
      </c>
      <c r="K77" s="93">
        <f t="shared" si="25"/>
        <v>0</v>
      </c>
      <c r="L77" s="96">
        <f t="shared" si="25"/>
        <v>0</v>
      </c>
      <c r="M77" s="97">
        <f t="shared" si="26"/>
        <v>0</v>
      </c>
      <c r="N77" s="97">
        <f t="shared" si="27"/>
        <v>0</v>
      </c>
      <c r="O77" s="97">
        <f t="shared" si="28"/>
        <v>0</v>
      </c>
      <c r="P77" s="97">
        <f t="shared" si="29"/>
        <v>0</v>
      </c>
      <c r="Q77" s="97">
        <f t="shared" si="30"/>
        <v>0</v>
      </c>
      <c r="R77" s="91">
        <v>1</v>
      </c>
    </row>
    <row r="78" spans="1:18" ht="12.75">
      <c r="A78" s="91" t="s">
        <v>17</v>
      </c>
      <c r="B78" s="92">
        <f t="shared" si="31"/>
        <v>19422285.975781143</v>
      </c>
      <c r="C78" s="93">
        <f>Mode_Shares!Z18</f>
        <v>0.14220392079422448</v>
      </c>
      <c r="D78" s="91">
        <v>62</v>
      </c>
      <c r="E78" s="94">
        <f t="shared" si="23"/>
        <v>14497316793.98377</v>
      </c>
      <c r="F78" s="94">
        <f t="shared" si="24"/>
        <v>233827690.2255447</v>
      </c>
      <c r="G78" s="91">
        <v>2012</v>
      </c>
      <c r="H78" s="95">
        <f t="shared" si="32"/>
        <v>0</v>
      </c>
      <c r="I78" s="95">
        <f t="shared" si="25"/>
        <v>0</v>
      </c>
      <c r="J78" s="95">
        <f t="shared" si="25"/>
        <v>0</v>
      </c>
      <c r="K78" s="93">
        <f t="shared" si="25"/>
        <v>0</v>
      </c>
      <c r="L78" s="96">
        <f t="shared" si="25"/>
        <v>0</v>
      </c>
      <c r="M78" s="97">
        <f t="shared" si="26"/>
        <v>0</v>
      </c>
      <c r="N78" s="97">
        <f t="shared" si="27"/>
        <v>0</v>
      </c>
      <c r="O78" s="97">
        <f t="shared" si="28"/>
        <v>0</v>
      </c>
      <c r="P78" s="97">
        <f t="shared" si="29"/>
        <v>0</v>
      </c>
      <c r="Q78" s="97">
        <f t="shared" si="30"/>
        <v>0</v>
      </c>
      <c r="R78" s="91">
        <v>1</v>
      </c>
    </row>
    <row r="79" spans="1:18" ht="12.75">
      <c r="A79" s="91" t="s">
        <v>17</v>
      </c>
      <c r="B79" s="92">
        <f t="shared" si="31"/>
        <v>19713620.26541786</v>
      </c>
      <c r="C79" s="93">
        <f>Mode_Shares!Z19</f>
        <v>0.14570602893031187</v>
      </c>
      <c r="D79" s="91">
        <v>62</v>
      </c>
      <c r="E79" s="94">
        <f t="shared" si="23"/>
        <v>15240560570.037506</v>
      </c>
      <c r="F79" s="94">
        <f t="shared" si="24"/>
        <v>245815493.06512105</v>
      </c>
      <c r="G79" s="91">
        <v>2013</v>
      </c>
      <c r="H79" s="95">
        <f t="shared" si="32"/>
        <v>0</v>
      </c>
      <c r="I79" s="95">
        <f t="shared" si="25"/>
        <v>0</v>
      </c>
      <c r="J79" s="95">
        <f t="shared" si="25"/>
        <v>0</v>
      </c>
      <c r="K79" s="93">
        <f t="shared" si="25"/>
        <v>0</v>
      </c>
      <c r="L79" s="96">
        <f t="shared" si="25"/>
        <v>0</v>
      </c>
      <c r="M79" s="97">
        <f t="shared" si="26"/>
        <v>0</v>
      </c>
      <c r="N79" s="97">
        <f t="shared" si="27"/>
        <v>0</v>
      </c>
      <c r="O79" s="97">
        <f t="shared" si="28"/>
        <v>0</v>
      </c>
      <c r="P79" s="97">
        <f t="shared" si="29"/>
        <v>0</v>
      </c>
      <c r="Q79" s="97">
        <f t="shared" si="30"/>
        <v>0</v>
      </c>
      <c r="R79" s="91">
        <v>1</v>
      </c>
    </row>
    <row r="80" spans="1:18" ht="12.75">
      <c r="A80" s="91" t="s">
        <v>17</v>
      </c>
      <c r="B80" s="92">
        <f t="shared" si="31"/>
        <v>20009324.569399126</v>
      </c>
      <c r="C80" s="93">
        <f>Mode_Shares!Z20</f>
        <v>0.14929950213279625</v>
      </c>
      <c r="D80" s="91">
        <v>62</v>
      </c>
      <c r="E80" s="94">
        <f t="shared" si="23"/>
        <v>16022457912.06426</v>
      </c>
      <c r="F80" s="94">
        <f t="shared" si="24"/>
        <v>258426740.51716548</v>
      </c>
      <c r="G80" s="91">
        <v>2014</v>
      </c>
      <c r="H80" s="95">
        <f t="shared" si="32"/>
        <v>0</v>
      </c>
      <c r="I80" s="95">
        <f t="shared" si="25"/>
        <v>0</v>
      </c>
      <c r="J80" s="95">
        <f t="shared" si="25"/>
        <v>0</v>
      </c>
      <c r="K80" s="93">
        <f t="shared" si="25"/>
        <v>0</v>
      </c>
      <c r="L80" s="96">
        <f t="shared" si="25"/>
        <v>0</v>
      </c>
      <c r="M80" s="97">
        <f t="shared" si="26"/>
        <v>0</v>
      </c>
      <c r="N80" s="97">
        <f t="shared" si="27"/>
        <v>0</v>
      </c>
      <c r="O80" s="97">
        <f t="shared" si="28"/>
        <v>0</v>
      </c>
      <c r="P80" s="97">
        <f t="shared" si="29"/>
        <v>0</v>
      </c>
      <c r="Q80" s="97">
        <f t="shared" si="30"/>
        <v>0</v>
      </c>
      <c r="R80" s="91">
        <v>1</v>
      </c>
    </row>
    <row r="81" spans="1:18" ht="12.75">
      <c r="A81" s="91" t="s">
        <v>17</v>
      </c>
      <c r="B81" s="92">
        <f t="shared" si="31"/>
        <v>20309464.43794011</v>
      </c>
      <c r="C81" s="93">
        <f>Mode_Shares!Z21</f>
        <v>0.1529858087966944</v>
      </c>
      <c r="D81" s="91">
        <v>62</v>
      </c>
      <c r="E81" s="94">
        <f t="shared" si="23"/>
        <v>16844932986.437517</v>
      </c>
      <c r="F81" s="94">
        <f t="shared" si="24"/>
        <v>271692467.5231858</v>
      </c>
      <c r="G81" s="91">
        <v>2015</v>
      </c>
      <c r="H81" s="95">
        <f t="shared" si="32"/>
        <v>0</v>
      </c>
      <c r="I81" s="95">
        <f t="shared" si="25"/>
        <v>0</v>
      </c>
      <c r="J81" s="95">
        <f t="shared" si="25"/>
        <v>0</v>
      </c>
      <c r="K81" s="93">
        <f t="shared" si="25"/>
        <v>0</v>
      </c>
      <c r="L81" s="96">
        <f t="shared" si="25"/>
        <v>0</v>
      </c>
      <c r="M81" s="97">
        <f t="shared" si="26"/>
        <v>0</v>
      </c>
      <c r="N81" s="97">
        <f t="shared" si="27"/>
        <v>0</v>
      </c>
      <c r="O81" s="97">
        <f t="shared" si="28"/>
        <v>0</v>
      </c>
      <c r="P81" s="97">
        <f t="shared" si="29"/>
        <v>0</v>
      </c>
      <c r="Q81" s="97">
        <f t="shared" si="30"/>
        <v>0</v>
      </c>
      <c r="R81" s="91">
        <v>1</v>
      </c>
    </row>
    <row r="82" spans="1:18" ht="12.75">
      <c r="A82" s="91" t="s">
        <v>17</v>
      </c>
      <c r="B82" s="92">
        <f t="shared" si="31"/>
        <v>20614106.40450921</v>
      </c>
      <c r="C82" s="93">
        <f>Mode_Shares!Z22</f>
        <v>0.14895669901692293</v>
      </c>
      <c r="D82" s="91">
        <v>62</v>
      </c>
      <c r="E82" s="94">
        <f t="shared" si="23"/>
        <v>16827730225.458546</v>
      </c>
      <c r="F82" s="94">
        <f t="shared" si="24"/>
        <v>271415003.6364282</v>
      </c>
      <c r="G82" s="91">
        <v>2016</v>
      </c>
      <c r="H82" s="95">
        <f t="shared" si="32"/>
        <v>0</v>
      </c>
      <c r="I82" s="95">
        <f t="shared" si="25"/>
        <v>0</v>
      </c>
      <c r="J82" s="95">
        <f t="shared" si="25"/>
        <v>0</v>
      </c>
      <c r="K82" s="93">
        <f t="shared" si="25"/>
        <v>0</v>
      </c>
      <c r="L82" s="96">
        <f t="shared" si="25"/>
        <v>0</v>
      </c>
      <c r="M82" s="97">
        <f t="shared" si="26"/>
        <v>0</v>
      </c>
      <c r="N82" s="97">
        <f t="shared" si="27"/>
        <v>0</v>
      </c>
      <c r="O82" s="97">
        <f t="shared" si="28"/>
        <v>0</v>
      </c>
      <c r="P82" s="97">
        <f t="shared" si="29"/>
        <v>0</v>
      </c>
      <c r="Q82" s="97">
        <f t="shared" si="30"/>
        <v>0</v>
      </c>
      <c r="R82" s="91">
        <v>1</v>
      </c>
    </row>
    <row r="83" spans="1:18" ht="12.75">
      <c r="A83" s="91" t="s">
        <v>17</v>
      </c>
      <c r="B83" s="92">
        <f t="shared" si="31"/>
        <v>20923318.000576846</v>
      </c>
      <c r="C83" s="93">
        <f>Mode_Shares!Z23</f>
        <v>0.15279502916445445</v>
      </c>
      <c r="D83" s="91">
        <v>62</v>
      </c>
      <c r="E83" s="94">
        <f t="shared" si="23"/>
        <v>17710143818.81298</v>
      </c>
      <c r="F83" s="94">
        <f t="shared" si="24"/>
        <v>285647480.9485965</v>
      </c>
      <c r="G83" s="91">
        <v>2017</v>
      </c>
      <c r="H83" s="95">
        <f t="shared" si="32"/>
        <v>0</v>
      </c>
      <c r="I83" s="95">
        <f t="shared" si="25"/>
        <v>0</v>
      </c>
      <c r="J83" s="95">
        <f t="shared" si="25"/>
        <v>0</v>
      </c>
      <c r="K83" s="93">
        <f t="shared" si="25"/>
        <v>0</v>
      </c>
      <c r="L83" s="96">
        <f t="shared" si="25"/>
        <v>0</v>
      </c>
      <c r="M83" s="97">
        <f t="shared" si="26"/>
        <v>0</v>
      </c>
      <c r="N83" s="97">
        <f t="shared" si="27"/>
        <v>0</v>
      </c>
      <c r="O83" s="97">
        <f t="shared" si="28"/>
        <v>0</v>
      </c>
      <c r="P83" s="97">
        <f t="shared" si="29"/>
        <v>0</v>
      </c>
      <c r="Q83" s="97">
        <f t="shared" si="30"/>
        <v>0</v>
      </c>
      <c r="R83" s="91">
        <v>1</v>
      </c>
    </row>
    <row r="84" spans="1:18" ht="12.75">
      <c r="A84" s="91" t="s">
        <v>17</v>
      </c>
      <c r="B84" s="92">
        <f t="shared" si="31"/>
        <v>21237167.770585496</v>
      </c>
      <c r="C84" s="93">
        <f>Mode_Shares!Z24</f>
        <v>0.15840576541527665</v>
      </c>
      <c r="D84" s="91">
        <v>62</v>
      </c>
      <c r="E84" s="94">
        <f t="shared" si="23"/>
        <v>18837844490.371544</v>
      </c>
      <c r="F84" s="94">
        <f t="shared" si="24"/>
        <v>303836201.45760554</v>
      </c>
      <c r="G84" s="91">
        <v>2018</v>
      </c>
      <c r="H84" s="95">
        <f t="shared" si="32"/>
        <v>0</v>
      </c>
      <c r="I84" s="95">
        <f t="shared" si="25"/>
        <v>0</v>
      </c>
      <c r="J84" s="95">
        <f t="shared" si="25"/>
        <v>0</v>
      </c>
      <c r="K84" s="93">
        <f t="shared" si="25"/>
        <v>0</v>
      </c>
      <c r="L84" s="96">
        <f t="shared" si="25"/>
        <v>0</v>
      </c>
      <c r="M84" s="97">
        <f t="shared" si="26"/>
        <v>0</v>
      </c>
      <c r="N84" s="97">
        <f t="shared" si="27"/>
        <v>0</v>
      </c>
      <c r="O84" s="97">
        <f t="shared" si="28"/>
        <v>0</v>
      </c>
      <c r="P84" s="97">
        <f t="shared" si="29"/>
        <v>0</v>
      </c>
      <c r="Q84" s="97">
        <f t="shared" si="30"/>
        <v>0</v>
      </c>
      <c r="R84" s="91">
        <v>1</v>
      </c>
    </row>
    <row r="85" spans="1:18" ht="12.75">
      <c r="A85" s="91" t="s">
        <v>17</v>
      </c>
      <c r="B85" s="92">
        <f t="shared" si="31"/>
        <v>21555725.287144277</v>
      </c>
      <c r="C85" s="93">
        <f>Mode_Shares!Z25</f>
        <v>0.16254606766447213</v>
      </c>
      <c r="D85" s="91">
        <v>62</v>
      </c>
      <c r="E85" s="94">
        <f t="shared" si="23"/>
        <v>19832800865.065994</v>
      </c>
      <c r="F85" s="94">
        <f t="shared" si="24"/>
        <v>319883884.9204193</v>
      </c>
      <c r="G85" s="91">
        <v>2019</v>
      </c>
      <c r="H85" s="95">
        <f t="shared" si="32"/>
        <v>0</v>
      </c>
      <c r="I85" s="95">
        <f t="shared" si="25"/>
        <v>0</v>
      </c>
      <c r="J85" s="95">
        <f t="shared" si="25"/>
        <v>0</v>
      </c>
      <c r="K85" s="93">
        <f t="shared" si="25"/>
        <v>0</v>
      </c>
      <c r="L85" s="96">
        <f t="shared" si="25"/>
        <v>0</v>
      </c>
      <c r="M85" s="97">
        <f t="shared" si="26"/>
        <v>0</v>
      </c>
      <c r="N85" s="97">
        <f t="shared" si="27"/>
        <v>0</v>
      </c>
      <c r="O85" s="97">
        <f t="shared" si="28"/>
        <v>0</v>
      </c>
      <c r="P85" s="97">
        <f t="shared" si="29"/>
        <v>0</v>
      </c>
      <c r="Q85" s="97">
        <f t="shared" si="30"/>
        <v>0</v>
      </c>
      <c r="R85" s="91">
        <v>1</v>
      </c>
    </row>
    <row r="86" spans="1:18" ht="13.5" thickBot="1">
      <c r="A86" s="91" t="s">
        <v>17</v>
      </c>
      <c r="B86" s="92">
        <f t="shared" si="31"/>
        <v>21879061.16645144</v>
      </c>
      <c r="C86" s="93">
        <f>Mode_Shares!Z26</f>
        <v>0.16680048213764512</v>
      </c>
      <c r="D86" s="91">
        <v>62</v>
      </c>
      <c r="E86" s="94">
        <f t="shared" si="23"/>
        <v>20881045814.32472</v>
      </c>
      <c r="F86" s="94">
        <f t="shared" si="24"/>
        <v>336791061.5213664</v>
      </c>
      <c r="G86" s="91">
        <v>2020</v>
      </c>
      <c r="H86" s="95">
        <f t="shared" si="32"/>
        <v>0</v>
      </c>
      <c r="I86" s="95">
        <f t="shared" si="25"/>
        <v>0</v>
      </c>
      <c r="J86" s="95">
        <f t="shared" si="25"/>
        <v>0</v>
      </c>
      <c r="K86" s="93">
        <f t="shared" si="25"/>
        <v>0</v>
      </c>
      <c r="L86" s="96">
        <f t="shared" si="25"/>
        <v>0</v>
      </c>
      <c r="M86" s="97">
        <f t="shared" si="26"/>
        <v>0</v>
      </c>
      <c r="N86" s="97">
        <f t="shared" si="27"/>
        <v>0</v>
      </c>
      <c r="O86" s="97">
        <f t="shared" si="28"/>
        <v>0</v>
      </c>
      <c r="P86" s="97">
        <f t="shared" si="29"/>
        <v>0</v>
      </c>
      <c r="Q86" s="97">
        <f t="shared" si="30"/>
        <v>0</v>
      </c>
      <c r="R86" s="91">
        <v>1</v>
      </c>
    </row>
    <row r="87" spans="1:17" ht="12.75">
      <c r="A87" t="s">
        <v>33</v>
      </c>
      <c r="B87" s="7">
        <f>$B$1</f>
        <v>17500000</v>
      </c>
      <c r="C87" s="117"/>
      <c r="D87" s="117"/>
      <c r="E87" s="22">
        <v>87797725000</v>
      </c>
      <c r="F87" s="22">
        <v>87797725000</v>
      </c>
      <c r="G87">
        <v>2005</v>
      </c>
      <c r="H87" s="117"/>
      <c r="I87" s="117"/>
      <c r="J87" s="117"/>
      <c r="K87" s="117"/>
      <c r="L87" s="117"/>
      <c r="M87" s="11">
        <f aca="true" t="shared" si="33" ref="M87:Q100">M7+M23+M39+M55+M71</f>
        <v>72276696485.16046</v>
      </c>
      <c r="N87" s="11">
        <f t="shared" si="33"/>
        <v>798364550050.176</v>
      </c>
      <c r="O87" s="11">
        <f t="shared" si="33"/>
        <v>55116703644.19414</v>
      </c>
      <c r="P87" s="11">
        <f t="shared" si="33"/>
        <v>4764025602.669938</v>
      </c>
      <c r="Q87" s="11">
        <f t="shared" si="33"/>
        <v>4095267509.4107885</v>
      </c>
    </row>
    <row r="88" spans="1:17" ht="12.75">
      <c r="A88" t="s">
        <v>33</v>
      </c>
      <c r="B88" s="7">
        <f>B87*(1+$B$2)</f>
        <v>17762500</v>
      </c>
      <c r="C88" s="117"/>
      <c r="D88" s="117"/>
      <c r="E88" s="24">
        <f>E87*1.026</f>
        <v>90080465850</v>
      </c>
      <c r="F88" s="24">
        <f>F87*1.026</f>
        <v>90080465850</v>
      </c>
      <c r="G88">
        <v>2006</v>
      </c>
      <c r="H88" s="117"/>
      <c r="I88" s="117"/>
      <c r="J88" s="117"/>
      <c r="K88" s="117"/>
      <c r="L88" s="117"/>
      <c r="M88" s="11">
        <f t="shared" si="33"/>
        <v>72940657964.8155</v>
      </c>
      <c r="N88" s="11">
        <f t="shared" si="33"/>
        <v>815350810248.0625</v>
      </c>
      <c r="O88" s="11">
        <f t="shared" si="33"/>
        <v>53644709228.53429</v>
      </c>
      <c r="P88" s="11">
        <f t="shared" si="33"/>
        <v>4632167438.337493</v>
      </c>
      <c r="Q88" s="11">
        <f t="shared" si="33"/>
        <v>4184775652.35803</v>
      </c>
    </row>
    <row r="89" spans="1:17" ht="12.75">
      <c r="A89" t="s">
        <v>33</v>
      </c>
      <c r="B89" s="7">
        <f aca="true" t="shared" si="34" ref="B89:B102">B88*(1+$B$2)</f>
        <v>18028937.5</v>
      </c>
      <c r="C89" s="117"/>
      <c r="D89" s="117"/>
      <c r="E89" s="24">
        <f aca="true" t="shared" si="35" ref="E89:F102">E88*1.026</f>
        <v>92422557962.1</v>
      </c>
      <c r="F89" s="24">
        <f t="shared" si="35"/>
        <v>92422557962.1</v>
      </c>
      <c r="G89">
        <v>2007</v>
      </c>
      <c r="H89" s="117"/>
      <c r="I89" s="117"/>
      <c r="J89" s="117"/>
      <c r="K89" s="117"/>
      <c r="L89" s="117"/>
      <c r="M89" s="11">
        <f t="shared" si="33"/>
        <v>72487835106.67644</v>
      </c>
      <c r="N89" s="11">
        <f t="shared" si="33"/>
        <v>819291166905.2778</v>
      </c>
      <c r="O89" s="11">
        <f t="shared" si="33"/>
        <v>51100209725.61723</v>
      </c>
      <c r="P89" s="11">
        <f t="shared" si="33"/>
        <v>4387678122.818164</v>
      </c>
      <c r="Q89" s="11">
        <f t="shared" si="33"/>
        <v>4174120998.694139</v>
      </c>
    </row>
    <row r="90" spans="1:17" ht="12.75">
      <c r="A90" t="s">
        <v>33</v>
      </c>
      <c r="B90" s="7">
        <f t="shared" si="34"/>
        <v>18299371.5625</v>
      </c>
      <c r="C90" s="117"/>
      <c r="D90" s="117"/>
      <c r="E90" s="24">
        <f t="shared" si="35"/>
        <v>94825544469.11461</v>
      </c>
      <c r="F90" s="24">
        <f>F89*1.026*0.98</f>
        <v>92929033579.73232</v>
      </c>
      <c r="G90">
        <v>2008</v>
      </c>
      <c r="H90" s="117"/>
      <c r="I90" s="117"/>
      <c r="J90" s="117"/>
      <c r="K90" s="117"/>
      <c r="L90" s="117"/>
      <c r="M90" s="11">
        <f t="shared" si="33"/>
        <v>70693244390.56335</v>
      </c>
      <c r="N90" s="11">
        <f t="shared" si="33"/>
        <v>807326106951.5249</v>
      </c>
      <c r="O90" s="11">
        <f t="shared" si="33"/>
        <v>47798440467.95077</v>
      </c>
      <c r="P90" s="11">
        <f t="shared" si="33"/>
        <v>4081820891.906865</v>
      </c>
      <c r="Q90" s="11">
        <f t="shared" si="33"/>
        <v>4086073607.929992</v>
      </c>
    </row>
    <row r="91" spans="1:17" ht="12.75">
      <c r="A91" t="s">
        <v>33</v>
      </c>
      <c r="B91" s="7">
        <f t="shared" si="34"/>
        <v>18573862.135937497</v>
      </c>
      <c r="C91" s="117"/>
      <c r="D91" s="117"/>
      <c r="E91" s="24">
        <f t="shared" si="35"/>
        <v>97291008625.31158</v>
      </c>
      <c r="F91" s="24">
        <f t="shared" si="35"/>
        <v>95345188452.80536</v>
      </c>
      <c r="G91">
        <v>2009</v>
      </c>
      <c r="H91" s="117"/>
      <c r="I91" s="117"/>
      <c r="J91" s="117"/>
      <c r="K91" s="117"/>
      <c r="L91" s="117"/>
      <c r="M91" s="11">
        <f t="shared" si="33"/>
        <v>70441701296.54793</v>
      </c>
      <c r="N91" s="11">
        <f t="shared" si="33"/>
        <v>812287303073.1349</v>
      </c>
      <c r="O91" s="11">
        <f t="shared" si="33"/>
        <v>45716567383.3689</v>
      </c>
      <c r="P91" s="11">
        <f t="shared" si="33"/>
        <v>3883554888.2010517</v>
      </c>
      <c r="Q91" s="11">
        <f t="shared" si="33"/>
        <v>4087004900.295429</v>
      </c>
    </row>
    <row r="92" spans="1:17" ht="12.75">
      <c r="A92" t="s">
        <v>33</v>
      </c>
      <c r="B92" s="7">
        <f t="shared" si="34"/>
        <v>18852470.067976557</v>
      </c>
      <c r="C92" s="117"/>
      <c r="D92" s="117"/>
      <c r="E92" s="24">
        <f t="shared" si="35"/>
        <v>99820574849.56969</v>
      </c>
      <c r="F92" s="24">
        <f>F91*1.026*0.99</f>
        <v>96845921719.0525</v>
      </c>
      <c r="G92">
        <v>2010</v>
      </c>
      <c r="H92" s="117"/>
      <c r="I92" s="117"/>
      <c r="J92" s="117"/>
      <c r="K92" s="117"/>
      <c r="L92" s="117"/>
      <c r="M92" s="11">
        <f t="shared" si="33"/>
        <v>69575386671.14389</v>
      </c>
      <c r="N92" s="11">
        <f t="shared" si="33"/>
        <v>809592856581.0084</v>
      </c>
      <c r="O92" s="11">
        <f t="shared" si="33"/>
        <v>43379666986.28903</v>
      </c>
      <c r="P92" s="11">
        <f t="shared" si="33"/>
        <v>3666558283.8059144</v>
      </c>
      <c r="Q92" s="11">
        <f t="shared" si="33"/>
        <v>4052144709.9484158</v>
      </c>
    </row>
    <row r="93" spans="1:17" ht="12.75">
      <c r="A93" t="s">
        <v>33</v>
      </c>
      <c r="B93" s="7">
        <f t="shared" si="34"/>
        <v>19135257.118996203</v>
      </c>
      <c r="C93" s="117"/>
      <c r="D93" s="117"/>
      <c r="E93" s="24">
        <f t="shared" si="35"/>
        <v>102415909795.65851</v>
      </c>
      <c r="F93" s="24">
        <f t="shared" si="35"/>
        <v>99363915683.74788</v>
      </c>
      <c r="G93">
        <v>2011</v>
      </c>
      <c r="H93" s="117"/>
      <c r="I93" s="117"/>
      <c r="J93" s="117"/>
      <c r="K93" s="117"/>
      <c r="L93" s="117"/>
      <c r="M93" s="11">
        <f t="shared" si="33"/>
        <v>69204470446.81398</v>
      </c>
      <c r="N93" s="11">
        <f t="shared" si="33"/>
        <v>813740934137.1637</v>
      </c>
      <c r="O93" s="11">
        <f t="shared" si="33"/>
        <v>41620257962.985176</v>
      </c>
      <c r="P93" s="11">
        <f t="shared" si="33"/>
        <v>3540404937.0342226</v>
      </c>
      <c r="Q93" s="11">
        <f t="shared" si="33"/>
        <v>4102860993.170866</v>
      </c>
    </row>
    <row r="94" spans="1:17" ht="12.75">
      <c r="A94" t="s">
        <v>33</v>
      </c>
      <c r="B94" s="7">
        <f t="shared" si="34"/>
        <v>19422285.975781143</v>
      </c>
      <c r="C94" s="117"/>
      <c r="D94" s="117"/>
      <c r="E94" s="24">
        <f t="shared" si="35"/>
        <v>105078723450.34563</v>
      </c>
      <c r="F94" s="24">
        <f t="shared" si="35"/>
        <v>101947377491.52533</v>
      </c>
      <c r="G94">
        <v>2012</v>
      </c>
      <c r="H94" s="117"/>
      <c r="I94" s="117"/>
      <c r="J94" s="117"/>
      <c r="K94" s="117"/>
      <c r="L94" s="117"/>
      <c r="M94" s="11">
        <f t="shared" si="33"/>
        <v>67847342385.963646</v>
      </c>
      <c r="N94" s="11">
        <f t="shared" si="33"/>
        <v>805054233836.0046</v>
      </c>
      <c r="O94" s="11">
        <f t="shared" si="33"/>
        <v>39158959871.20629</v>
      </c>
      <c r="P94" s="11">
        <f t="shared" si="33"/>
        <v>3332978782.2885966</v>
      </c>
      <c r="Q94" s="11">
        <f t="shared" si="33"/>
        <v>4054844704.454936</v>
      </c>
    </row>
    <row r="95" spans="1:17" ht="12.75">
      <c r="A95" t="s">
        <v>33</v>
      </c>
      <c r="B95" s="7">
        <f t="shared" si="34"/>
        <v>19713620.26541786</v>
      </c>
      <c r="C95" s="117"/>
      <c r="D95" s="117"/>
      <c r="E95" s="24">
        <f t="shared" si="35"/>
        <v>107810770260.05461</v>
      </c>
      <c r="F95" s="24">
        <f t="shared" si="35"/>
        <v>104598009306.305</v>
      </c>
      <c r="G95">
        <v>2013</v>
      </c>
      <c r="H95" s="117"/>
      <c r="I95" s="117"/>
      <c r="J95" s="117"/>
      <c r="K95" s="117"/>
      <c r="L95" s="117"/>
      <c r="M95" s="11">
        <f t="shared" si="33"/>
        <v>66666091654.46912</v>
      </c>
      <c r="N95" s="11">
        <f t="shared" si="33"/>
        <v>797773614663.1202</v>
      </c>
      <c r="O95" s="11">
        <f t="shared" si="33"/>
        <v>36955016517.4812</v>
      </c>
      <c r="P95" s="11">
        <f t="shared" si="33"/>
        <v>3147998376.887799</v>
      </c>
      <c r="Q95" s="11">
        <f t="shared" si="33"/>
        <v>4014748410.3876863</v>
      </c>
    </row>
    <row r="96" spans="1:17" ht="12.75">
      <c r="A96" t="s">
        <v>33</v>
      </c>
      <c r="B96" s="7">
        <f t="shared" si="34"/>
        <v>20009324.569399126</v>
      </c>
      <c r="C96" s="117"/>
      <c r="D96" s="117"/>
      <c r="E96" s="24">
        <f t="shared" si="35"/>
        <v>110613850286.81604</v>
      </c>
      <c r="F96" s="24">
        <f t="shared" si="35"/>
        <v>107317557548.26892</v>
      </c>
      <c r="G96">
        <v>2014</v>
      </c>
      <c r="H96" s="117"/>
      <c r="I96" s="117"/>
      <c r="J96" s="117"/>
      <c r="K96" s="117"/>
      <c r="L96" s="117"/>
      <c r="M96" s="11">
        <f t="shared" si="33"/>
        <v>65644937384.03423</v>
      </c>
      <c r="N96" s="11">
        <f t="shared" si="33"/>
        <v>791777209663.0759</v>
      </c>
      <c r="O96" s="11">
        <f t="shared" si="33"/>
        <v>34983681861.46367</v>
      </c>
      <c r="P96" s="11">
        <f t="shared" si="33"/>
        <v>2983214860.5260887</v>
      </c>
      <c r="Q96" s="11">
        <f t="shared" si="33"/>
        <v>3981793515.3917646</v>
      </c>
    </row>
    <row r="97" spans="1:17" ht="12.75">
      <c r="A97" t="s">
        <v>33</v>
      </c>
      <c r="B97" s="7">
        <f t="shared" si="34"/>
        <v>20309464.43794011</v>
      </c>
      <c r="C97" s="117"/>
      <c r="D97" s="117"/>
      <c r="E97" s="24">
        <f t="shared" si="35"/>
        <v>113489810394.27325</v>
      </c>
      <c r="F97" s="24">
        <f t="shared" si="35"/>
        <v>110107814044.52391</v>
      </c>
      <c r="G97">
        <v>2015</v>
      </c>
      <c r="H97" s="117"/>
      <c r="I97" s="117"/>
      <c r="J97" s="117"/>
      <c r="K97" s="117"/>
      <c r="L97" s="117"/>
      <c r="M97" s="11">
        <f t="shared" si="33"/>
        <v>64769362417.34991</v>
      </c>
      <c r="N97" s="11">
        <f t="shared" si="33"/>
        <v>786951591773.6151</v>
      </c>
      <c r="O97" s="11">
        <f t="shared" si="33"/>
        <v>33222532255.16539</v>
      </c>
      <c r="P97" s="11">
        <f t="shared" si="33"/>
        <v>2836596497.0058627</v>
      </c>
      <c r="Q97" s="11">
        <f t="shared" si="33"/>
        <v>3955264415.6109247</v>
      </c>
    </row>
    <row r="98" spans="1:17" ht="12.75">
      <c r="A98" t="s">
        <v>33</v>
      </c>
      <c r="B98" s="7">
        <f t="shared" si="34"/>
        <v>20614106.40450921</v>
      </c>
      <c r="C98" s="117"/>
      <c r="D98" s="117"/>
      <c r="E98" s="24">
        <f t="shared" si="35"/>
        <v>116440545464.52437</v>
      </c>
      <c r="F98" s="24">
        <f t="shared" si="35"/>
        <v>112970617209.68153</v>
      </c>
      <c r="G98">
        <v>2016</v>
      </c>
      <c r="H98" s="117"/>
      <c r="I98" s="117"/>
      <c r="J98" s="117"/>
      <c r="K98" s="117"/>
      <c r="L98" s="117"/>
      <c r="M98" s="11">
        <f t="shared" si="33"/>
        <v>64837823513.585</v>
      </c>
      <c r="N98" s="11">
        <f t="shared" si="33"/>
        <v>794027926594.2966</v>
      </c>
      <c r="O98" s="11">
        <f t="shared" si="33"/>
        <v>32485023762.636486</v>
      </c>
      <c r="P98" s="11">
        <f t="shared" si="33"/>
        <v>2808023115.190288</v>
      </c>
      <c r="Q98" s="11">
        <f t="shared" si="33"/>
        <v>4043370694.6797338</v>
      </c>
    </row>
    <row r="99" spans="1:17" ht="12.75">
      <c r="A99" t="s">
        <v>33</v>
      </c>
      <c r="B99" s="7">
        <f t="shared" si="34"/>
        <v>20923318.000576846</v>
      </c>
      <c r="C99" s="117"/>
      <c r="D99" s="117"/>
      <c r="E99" s="24">
        <f t="shared" si="35"/>
        <v>119467999646.602</v>
      </c>
      <c r="F99" s="24">
        <f t="shared" si="35"/>
        <v>115907853257.13326</v>
      </c>
      <c r="G99">
        <v>2017</v>
      </c>
      <c r="H99" s="117"/>
      <c r="I99" s="117"/>
      <c r="J99" s="117"/>
      <c r="K99" s="117"/>
      <c r="L99" s="117"/>
      <c r="M99" s="11">
        <f t="shared" si="33"/>
        <v>64193367127.599495</v>
      </c>
      <c r="N99" s="11">
        <f t="shared" si="33"/>
        <v>789976728926.9209</v>
      </c>
      <c r="O99" s="11">
        <f t="shared" si="33"/>
        <v>31192768933.820374</v>
      </c>
      <c r="P99" s="11">
        <f t="shared" si="33"/>
        <v>2690097318.434056</v>
      </c>
      <c r="Q99" s="11">
        <f t="shared" si="33"/>
        <v>4009959410.0136228</v>
      </c>
    </row>
    <row r="100" spans="1:17" ht="12.75">
      <c r="A100" t="s">
        <v>33</v>
      </c>
      <c r="B100" s="7">
        <f t="shared" si="34"/>
        <v>21237167.770585496</v>
      </c>
      <c r="C100" s="117"/>
      <c r="D100" s="117"/>
      <c r="E100" s="24">
        <f t="shared" si="35"/>
        <v>122574167637.41367</v>
      </c>
      <c r="F100" s="24">
        <f t="shared" si="35"/>
        <v>118921457441.81873</v>
      </c>
      <c r="G100">
        <v>2018</v>
      </c>
      <c r="H100" s="117"/>
      <c r="I100" s="117"/>
      <c r="J100" s="117"/>
      <c r="K100" s="117"/>
      <c r="L100" s="117"/>
      <c r="M100" s="11">
        <f t="shared" si="33"/>
        <v>63520003035.52778</v>
      </c>
      <c r="N100" s="11">
        <f t="shared" si="33"/>
        <v>786296091170.7704</v>
      </c>
      <c r="O100" s="11">
        <f t="shared" si="33"/>
        <v>30070983617.90789</v>
      </c>
      <c r="P100" s="11">
        <f t="shared" si="33"/>
        <v>2607282217.6876316</v>
      </c>
      <c r="Q100" s="11">
        <f t="shared" si="33"/>
        <v>4009763729.005696</v>
      </c>
    </row>
    <row r="101" spans="1:17" ht="12.75">
      <c r="A101" t="s">
        <v>33</v>
      </c>
      <c r="B101" s="7">
        <f t="shared" si="34"/>
        <v>21555725.287144277</v>
      </c>
      <c r="C101" s="117"/>
      <c r="D101" s="117"/>
      <c r="E101" s="24">
        <f t="shared" si="35"/>
        <v>125761095995.98642</v>
      </c>
      <c r="F101" s="24">
        <f t="shared" si="35"/>
        <v>122013415335.30602</v>
      </c>
      <c r="G101">
        <v>2019</v>
      </c>
      <c r="H101" s="117"/>
      <c r="I101" s="117"/>
      <c r="J101" s="117"/>
      <c r="K101" s="117"/>
      <c r="L101" s="117"/>
      <c r="M101" s="11">
        <f aca="true" t="shared" si="36" ref="M101:Q102">M21+M37+M53+M69+M85</f>
        <v>62973984824.59778</v>
      </c>
      <c r="N101" s="11">
        <f t="shared" si="36"/>
        <v>782811463733.7623</v>
      </c>
      <c r="O101" s="11">
        <f t="shared" si="36"/>
        <v>28985961326.91404</v>
      </c>
      <c r="P101" s="11">
        <f t="shared" si="36"/>
        <v>2509088249.1406693</v>
      </c>
      <c r="Q101" s="11">
        <f t="shared" si="36"/>
        <v>3981499174.6987805</v>
      </c>
    </row>
    <row r="102" spans="1:17" ht="13.5" thickBot="1">
      <c r="A102" t="s">
        <v>33</v>
      </c>
      <c r="B102" s="7">
        <f t="shared" si="34"/>
        <v>21879061.16645144</v>
      </c>
      <c r="C102" s="117"/>
      <c r="D102" s="117"/>
      <c r="E102" s="24">
        <f t="shared" si="35"/>
        <v>129030884491.88206</v>
      </c>
      <c r="F102" s="24">
        <f t="shared" si="35"/>
        <v>125185764134.02397</v>
      </c>
      <c r="G102">
        <v>2020</v>
      </c>
      <c r="H102" s="117"/>
      <c r="I102" s="117"/>
      <c r="J102" s="117"/>
      <c r="K102" s="117"/>
      <c r="L102" s="117"/>
      <c r="M102" s="11">
        <f t="shared" si="36"/>
        <v>62479714868.716034</v>
      </c>
      <c r="N102" s="11">
        <f t="shared" si="36"/>
        <v>779639989742.2726</v>
      </c>
      <c r="O102" s="11">
        <f t="shared" si="36"/>
        <v>27997993121.18197</v>
      </c>
      <c r="P102" s="11">
        <f t="shared" si="36"/>
        <v>2419620528.587128</v>
      </c>
      <c r="Q102" s="11">
        <f t="shared" si="36"/>
        <v>3955175255.8759756</v>
      </c>
    </row>
    <row r="103" spans="1:17" ht="12.75">
      <c r="A103" s="1" t="s">
        <v>32</v>
      </c>
      <c r="B103" s="133">
        <f>$B$1</f>
        <v>17500000</v>
      </c>
      <c r="C103" s="121"/>
      <c r="D103" s="121"/>
      <c r="E103" s="121"/>
      <c r="F103" s="134"/>
      <c r="G103" s="121"/>
      <c r="H103" s="121"/>
      <c r="I103" s="121"/>
      <c r="J103" s="121"/>
      <c r="K103" s="121"/>
      <c r="L103" s="135">
        <v>2005</v>
      </c>
      <c r="M103" s="122">
        <f aca="true" t="shared" si="37" ref="M103:Q116">M87/1000000</f>
        <v>72276.69648516046</v>
      </c>
      <c r="N103" s="122">
        <f t="shared" si="37"/>
        <v>798364.550050176</v>
      </c>
      <c r="O103" s="122">
        <f t="shared" si="37"/>
        <v>55116.70364419414</v>
      </c>
      <c r="P103" s="122">
        <f t="shared" si="37"/>
        <v>4764.025602669938</v>
      </c>
      <c r="Q103" s="123">
        <f t="shared" si="37"/>
        <v>4095.2675094107885</v>
      </c>
    </row>
    <row r="104" spans="1:17" ht="12.75">
      <c r="A104" s="4" t="s">
        <v>32</v>
      </c>
      <c r="B104" s="8">
        <f>B103*(1+$B$2)</f>
        <v>17762500</v>
      </c>
      <c r="C104" s="116"/>
      <c r="D104" s="116"/>
      <c r="E104" s="116"/>
      <c r="F104" s="136"/>
      <c r="G104" s="116"/>
      <c r="H104" s="116"/>
      <c r="I104" s="116"/>
      <c r="J104" s="116"/>
      <c r="K104" s="116"/>
      <c r="L104" s="11">
        <v>2006</v>
      </c>
      <c r="M104" s="18">
        <f t="shared" si="37"/>
        <v>72940.6579648155</v>
      </c>
      <c r="N104" s="18">
        <f t="shared" si="37"/>
        <v>815350.8102480625</v>
      </c>
      <c r="O104" s="18">
        <f t="shared" si="37"/>
        <v>53644.70922853429</v>
      </c>
      <c r="P104" s="18">
        <f t="shared" si="37"/>
        <v>4632.167438337493</v>
      </c>
      <c r="Q104" s="126">
        <f t="shared" si="37"/>
        <v>4184.77565235803</v>
      </c>
    </row>
    <row r="105" spans="1:17" ht="12.75">
      <c r="A105" s="4" t="s">
        <v>32</v>
      </c>
      <c r="B105" s="8">
        <f aca="true" t="shared" si="38" ref="B105:B118">B104*(1+$B$2)</f>
        <v>18028937.5</v>
      </c>
      <c r="C105" s="116"/>
      <c r="D105" s="116"/>
      <c r="E105" s="116"/>
      <c r="F105" s="136"/>
      <c r="G105" s="116"/>
      <c r="H105" s="116"/>
      <c r="I105" s="116"/>
      <c r="J105" s="116"/>
      <c r="K105" s="116"/>
      <c r="L105" s="11">
        <v>2007</v>
      </c>
      <c r="M105" s="18">
        <f t="shared" si="37"/>
        <v>72487.83510667644</v>
      </c>
      <c r="N105" s="18">
        <f t="shared" si="37"/>
        <v>819291.1669052779</v>
      </c>
      <c r="O105" s="18">
        <f t="shared" si="37"/>
        <v>51100.209725617235</v>
      </c>
      <c r="P105" s="18">
        <f t="shared" si="37"/>
        <v>4387.6781228181635</v>
      </c>
      <c r="Q105" s="126">
        <f t="shared" si="37"/>
        <v>4174.120998694139</v>
      </c>
    </row>
    <row r="106" spans="1:17" ht="12.75">
      <c r="A106" s="4" t="s">
        <v>32</v>
      </c>
      <c r="B106" s="8">
        <f t="shared" si="38"/>
        <v>18299371.5625</v>
      </c>
      <c r="C106" s="116"/>
      <c r="D106" s="116"/>
      <c r="E106" s="116"/>
      <c r="F106" s="136"/>
      <c r="G106" s="116"/>
      <c r="H106" s="116"/>
      <c r="I106" s="116"/>
      <c r="J106" s="116"/>
      <c r="K106" s="116"/>
      <c r="L106" s="11">
        <v>2008</v>
      </c>
      <c r="M106" s="18">
        <f t="shared" si="37"/>
        <v>70693.24439056336</v>
      </c>
      <c r="N106" s="18">
        <f t="shared" si="37"/>
        <v>807326.1069515249</v>
      </c>
      <c r="O106" s="18">
        <f t="shared" si="37"/>
        <v>47798.440467950764</v>
      </c>
      <c r="P106" s="18">
        <f t="shared" si="37"/>
        <v>4081.820891906865</v>
      </c>
      <c r="Q106" s="126">
        <f t="shared" si="37"/>
        <v>4086.0736079299922</v>
      </c>
    </row>
    <row r="107" spans="1:17" ht="12.75">
      <c r="A107" s="4" t="s">
        <v>32</v>
      </c>
      <c r="B107" s="8">
        <f t="shared" si="38"/>
        <v>18573862.135937497</v>
      </c>
      <c r="C107" s="116"/>
      <c r="D107" s="116"/>
      <c r="E107" s="116"/>
      <c r="F107" s="136"/>
      <c r="G107" s="116"/>
      <c r="H107" s="116"/>
      <c r="I107" s="116"/>
      <c r="J107" s="116"/>
      <c r="K107" s="116"/>
      <c r="L107" s="11">
        <v>2009</v>
      </c>
      <c r="M107" s="18">
        <f t="shared" si="37"/>
        <v>70441.70129654792</v>
      </c>
      <c r="N107" s="18">
        <f t="shared" si="37"/>
        <v>812287.3030731349</v>
      </c>
      <c r="O107" s="18">
        <f t="shared" si="37"/>
        <v>45716.5673833689</v>
      </c>
      <c r="P107" s="18">
        <f t="shared" si="37"/>
        <v>3883.5548882010517</v>
      </c>
      <c r="Q107" s="126">
        <f t="shared" si="37"/>
        <v>4087.0049002954293</v>
      </c>
    </row>
    <row r="108" spans="1:17" ht="12.75">
      <c r="A108" s="4" t="s">
        <v>32</v>
      </c>
      <c r="B108" s="8">
        <f t="shared" si="38"/>
        <v>18852470.067976557</v>
      </c>
      <c r="C108" s="116"/>
      <c r="D108" s="116"/>
      <c r="E108" s="116"/>
      <c r="F108" s="136"/>
      <c r="G108" s="116"/>
      <c r="H108" s="116"/>
      <c r="I108" s="116"/>
      <c r="J108" s="116"/>
      <c r="K108" s="116"/>
      <c r="L108" s="11">
        <v>2010</v>
      </c>
      <c r="M108" s="18">
        <f t="shared" si="37"/>
        <v>69575.38667114389</v>
      </c>
      <c r="N108" s="18">
        <f t="shared" si="37"/>
        <v>809592.8565810084</v>
      </c>
      <c r="O108" s="18">
        <f t="shared" si="37"/>
        <v>43379.666986289034</v>
      </c>
      <c r="P108" s="18">
        <f t="shared" si="37"/>
        <v>3666.5582838059145</v>
      </c>
      <c r="Q108" s="126">
        <f t="shared" si="37"/>
        <v>4052.1447099484158</v>
      </c>
    </row>
    <row r="109" spans="1:17" ht="12.75">
      <c r="A109" s="4" t="s">
        <v>32</v>
      </c>
      <c r="B109" s="8">
        <f t="shared" si="38"/>
        <v>19135257.118996203</v>
      </c>
      <c r="C109" s="116"/>
      <c r="D109" s="116"/>
      <c r="E109" s="116"/>
      <c r="F109" s="136"/>
      <c r="G109" s="116"/>
      <c r="H109" s="116"/>
      <c r="I109" s="116"/>
      <c r="J109" s="116"/>
      <c r="K109" s="116"/>
      <c r="L109" s="11">
        <v>2011</v>
      </c>
      <c r="M109" s="18">
        <f t="shared" si="37"/>
        <v>69204.47044681398</v>
      </c>
      <c r="N109" s="18">
        <f t="shared" si="37"/>
        <v>813740.9341371637</v>
      </c>
      <c r="O109" s="18">
        <f t="shared" si="37"/>
        <v>41620.257962985175</v>
      </c>
      <c r="P109" s="18">
        <f t="shared" si="37"/>
        <v>3540.4049370342227</v>
      </c>
      <c r="Q109" s="126">
        <f t="shared" si="37"/>
        <v>4102.860993170866</v>
      </c>
    </row>
    <row r="110" spans="1:17" ht="12.75">
      <c r="A110" s="4" t="s">
        <v>32</v>
      </c>
      <c r="B110" s="8">
        <f t="shared" si="38"/>
        <v>19422285.975781143</v>
      </c>
      <c r="C110" s="116"/>
      <c r="D110" s="116"/>
      <c r="E110" s="116"/>
      <c r="F110" s="136"/>
      <c r="G110" s="116"/>
      <c r="H110" s="116"/>
      <c r="I110" s="116"/>
      <c r="J110" s="116"/>
      <c r="K110" s="116"/>
      <c r="L110" s="11">
        <v>2012</v>
      </c>
      <c r="M110" s="18">
        <f t="shared" si="37"/>
        <v>67847.34238596365</v>
      </c>
      <c r="N110" s="18">
        <f t="shared" si="37"/>
        <v>805054.2338360046</v>
      </c>
      <c r="O110" s="18">
        <f t="shared" si="37"/>
        <v>39158.959871206294</v>
      </c>
      <c r="P110" s="18">
        <f t="shared" si="37"/>
        <v>3332.9787822885964</v>
      </c>
      <c r="Q110" s="126">
        <f t="shared" si="37"/>
        <v>4054.844704454936</v>
      </c>
    </row>
    <row r="111" spans="1:17" ht="12.75">
      <c r="A111" s="4" t="s">
        <v>32</v>
      </c>
      <c r="B111" s="8">
        <f t="shared" si="38"/>
        <v>19713620.26541786</v>
      </c>
      <c r="C111" s="116"/>
      <c r="D111" s="116"/>
      <c r="E111" s="116"/>
      <c r="F111" s="136"/>
      <c r="G111" s="116"/>
      <c r="H111" s="116"/>
      <c r="I111" s="116"/>
      <c r="J111" s="116"/>
      <c r="K111" s="116"/>
      <c r="L111" s="11">
        <v>2013</v>
      </c>
      <c r="M111" s="18">
        <f t="shared" si="37"/>
        <v>66666.09165446911</v>
      </c>
      <c r="N111" s="18">
        <f t="shared" si="37"/>
        <v>797773.6146631202</v>
      </c>
      <c r="O111" s="18">
        <f t="shared" si="37"/>
        <v>36955.0165174812</v>
      </c>
      <c r="P111" s="18">
        <f t="shared" si="37"/>
        <v>3147.9983768877987</v>
      </c>
      <c r="Q111" s="126">
        <f t="shared" si="37"/>
        <v>4014.7484103876864</v>
      </c>
    </row>
    <row r="112" spans="1:17" ht="12.75">
      <c r="A112" s="4" t="s">
        <v>32</v>
      </c>
      <c r="B112" s="8">
        <f t="shared" si="38"/>
        <v>20009324.569399126</v>
      </c>
      <c r="C112" s="116"/>
      <c r="D112" s="116"/>
      <c r="E112" s="116"/>
      <c r="F112" s="136"/>
      <c r="G112" s="116"/>
      <c r="H112" s="116"/>
      <c r="I112" s="116"/>
      <c r="J112" s="116"/>
      <c r="K112" s="116"/>
      <c r="L112" s="11">
        <v>2014</v>
      </c>
      <c r="M112" s="18">
        <f t="shared" si="37"/>
        <v>65644.93738403423</v>
      </c>
      <c r="N112" s="18">
        <f t="shared" si="37"/>
        <v>791777.209663076</v>
      </c>
      <c r="O112" s="18">
        <f t="shared" si="37"/>
        <v>34983.68186146367</v>
      </c>
      <c r="P112" s="18">
        <f t="shared" si="37"/>
        <v>2983.2148605260886</v>
      </c>
      <c r="Q112" s="126">
        <f t="shared" si="37"/>
        <v>3981.7935153917647</v>
      </c>
    </row>
    <row r="113" spans="1:17" ht="12.75">
      <c r="A113" s="4" t="s">
        <v>32</v>
      </c>
      <c r="B113" s="8">
        <f t="shared" si="38"/>
        <v>20309464.43794011</v>
      </c>
      <c r="C113" s="116"/>
      <c r="D113" s="116"/>
      <c r="E113" s="116"/>
      <c r="F113" s="136"/>
      <c r="G113" s="116"/>
      <c r="H113" s="116"/>
      <c r="I113" s="116"/>
      <c r="J113" s="116"/>
      <c r="K113" s="116"/>
      <c r="L113" s="11">
        <v>2015</v>
      </c>
      <c r="M113" s="18">
        <f t="shared" si="37"/>
        <v>64769.362417349905</v>
      </c>
      <c r="N113" s="18">
        <f t="shared" si="37"/>
        <v>786951.5917736151</v>
      </c>
      <c r="O113" s="18">
        <f t="shared" si="37"/>
        <v>33222.53225516539</v>
      </c>
      <c r="P113" s="18">
        <f t="shared" si="37"/>
        <v>2836.5964970058626</v>
      </c>
      <c r="Q113" s="126">
        <f t="shared" si="37"/>
        <v>3955.2644156109245</v>
      </c>
    </row>
    <row r="114" spans="1:17" ht="12.75">
      <c r="A114" s="4" t="s">
        <v>32</v>
      </c>
      <c r="B114" s="8">
        <f t="shared" si="38"/>
        <v>20614106.40450921</v>
      </c>
      <c r="C114" s="116"/>
      <c r="D114" s="116"/>
      <c r="E114" s="116"/>
      <c r="F114" s="136"/>
      <c r="G114" s="116"/>
      <c r="H114" s="116"/>
      <c r="I114" s="116"/>
      <c r="J114" s="116"/>
      <c r="K114" s="116"/>
      <c r="L114" s="11">
        <v>2016</v>
      </c>
      <c r="M114" s="18">
        <f t="shared" si="37"/>
        <v>64837.823513585</v>
      </c>
      <c r="N114" s="18">
        <f t="shared" si="37"/>
        <v>794027.9265942966</v>
      </c>
      <c r="O114" s="18">
        <f t="shared" si="37"/>
        <v>32485.023762636487</v>
      </c>
      <c r="P114" s="18">
        <f t="shared" si="37"/>
        <v>2808.023115190288</v>
      </c>
      <c r="Q114" s="126">
        <f t="shared" si="37"/>
        <v>4043.370694679734</v>
      </c>
    </row>
    <row r="115" spans="1:17" ht="12.75">
      <c r="A115" s="4" t="s">
        <v>32</v>
      </c>
      <c r="B115" s="8">
        <f t="shared" si="38"/>
        <v>20923318.000576846</v>
      </c>
      <c r="C115" s="116"/>
      <c r="D115" s="116"/>
      <c r="E115" s="116"/>
      <c r="F115" s="136"/>
      <c r="G115" s="116"/>
      <c r="H115" s="116"/>
      <c r="I115" s="116"/>
      <c r="J115" s="116"/>
      <c r="K115" s="116"/>
      <c r="L115" s="11">
        <v>2017</v>
      </c>
      <c r="M115" s="18">
        <f t="shared" si="37"/>
        <v>64193.36712759949</v>
      </c>
      <c r="N115" s="18">
        <f t="shared" si="37"/>
        <v>789976.7289269209</v>
      </c>
      <c r="O115" s="18">
        <f t="shared" si="37"/>
        <v>31192.768933820375</v>
      </c>
      <c r="P115" s="18">
        <f t="shared" si="37"/>
        <v>2690.097318434056</v>
      </c>
      <c r="Q115" s="126">
        <f t="shared" si="37"/>
        <v>4009.959410013623</v>
      </c>
    </row>
    <row r="116" spans="1:17" ht="12.75">
      <c r="A116" s="4" t="s">
        <v>32</v>
      </c>
      <c r="B116" s="8">
        <f t="shared" si="38"/>
        <v>21237167.770585496</v>
      </c>
      <c r="C116" s="116"/>
      <c r="D116" s="116"/>
      <c r="E116" s="116"/>
      <c r="F116" s="136"/>
      <c r="G116" s="116"/>
      <c r="H116" s="116"/>
      <c r="I116" s="116"/>
      <c r="J116" s="116"/>
      <c r="K116" s="116"/>
      <c r="L116" s="11">
        <v>2018</v>
      </c>
      <c r="M116" s="18">
        <f t="shared" si="37"/>
        <v>63520.00303552778</v>
      </c>
      <c r="N116" s="18">
        <f t="shared" si="37"/>
        <v>786296.0911707703</v>
      </c>
      <c r="O116" s="18">
        <f t="shared" si="37"/>
        <v>30070.983617907892</v>
      </c>
      <c r="P116" s="18">
        <f t="shared" si="37"/>
        <v>2607.2822176876316</v>
      </c>
      <c r="Q116" s="126">
        <f t="shared" si="37"/>
        <v>4009.763729005696</v>
      </c>
    </row>
    <row r="117" spans="1:17" ht="12.75">
      <c r="A117" s="4" t="s">
        <v>32</v>
      </c>
      <c r="B117" s="8">
        <f t="shared" si="38"/>
        <v>21555725.287144277</v>
      </c>
      <c r="C117" s="116"/>
      <c r="D117" s="116"/>
      <c r="E117" s="116"/>
      <c r="F117" s="136"/>
      <c r="G117" s="116"/>
      <c r="H117" s="116"/>
      <c r="I117" s="116"/>
      <c r="J117" s="116"/>
      <c r="K117" s="116"/>
      <c r="L117" s="11">
        <v>2019</v>
      </c>
      <c r="M117" s="18">
        <f aca="true" t="shared" si="39" ref="M117:Q118">M101/1000000</f>
        <v>62973.98482459778</v>
      </c>
      <c r="N117" s="18">
        <f t="shared" si="39"/>
        <v>782811.4637337624</v>
      </c>
      <c r="O117" s="18">
        <f t="shared" si="39"/>
        <v>28985.96132691404</v>
      </c>
      <c r="P117" s="18">
        <f t="shared" si="39"/>
        <v>2509.088249140669</v>
      </c>
      <c r="Q117" s="126">
        <f t="shared" si="39"/>
        <v>3981.4991746987807</v>
      </c>
    </row>
    <row r="118" spans="1:17" ht="13.5" thickBot="1">
      <c r="A118" s="12" t="s">
        <v>32</v>
      </c>
      <c r="B118" s="137">
        <f t="shared" si="38"/>
        <v>21879061.16645144</v>
      </c>
      <c r="C118" s="130"/>
      <c r="D118" s="130"/>
      <c r="E118" s="130"/>
      <c r="F118" s="138"/>
      <c r="G118" s="130"/>
      <c r="H118" s="130"/>
      <c r="I118" s="130"/>
      <c r="J118" s="130"/>
      <c r="K118" s="130"/>
      <c r="L118" s="139">
        <v>2020</v>
      </c>
      <c r="M118" s="131">
        <f t="shared" si="39"/>
        <v>62479.71486871604</v>
      </c>
      <c r="N118" s="131">
        <f t="shared" si="39"/>
        <v>779639.9897422725</v>
      </c>
      <c r="O118" s="131">
        <f t="shared" si="39"/>
        <v>27997.993121181968</v>
      </c>
      <c r="P118" s="131">
        <f t="shared" si="39"/>
        <v>2419.6205285871283</v>
      </c>
      <c r="Q118" s="132">
        <f t="shared" si="39"/>
        <v>3955.175255875976</v>
      </c>
    </row>
    <row r="136" ht="12.75">
      <c r="E136" s="16"/>
    </row>
  </sheetData>
  <mergeCells count="1">
    <mergeCell ref="H5:L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1"/>
  <sheetViews>
    <sheetView zoomScale="75" zoomScaleNormal="75" workbookViewId="0" topLeftCell="A32">
      <selection activeCell="R84" sqref="R84"/>
    </sheetView>
  </sheetViews>
  <sheetFormatPr defaultColWidth="9.140625" defaultRowHeight="12.75"/>
  <cols>
    <col min="1" max="1" width="23.57421875" style="0" customWidth="1"/>
    <col min="2" max="2" width="12.421875" style="0" customWidth="1"/>
    <col min="3" max="3" width="13.00390625" style="37" customWidth="1"/>
    <col min="4" max="4" width="17.57421875" style="35" customWidth="1"/>
    <col min="5" max="5" width="8.28125" style="0" customWidth="1"/>
    <col min="6" max="10" width="8.7109375" style="0" customWidth="1"/>
    <col min="11" max="15" width="12.7109375" style="0" customWidth="1"/>
    <col min="18" max="18" width="12.7109375" style="0" bestFit="1" customWidth="1"/>
  </cols>
  <sheetData>
    <row r="1" spans="1:10" ht="12.75">
      <c r="A1" t="s">
        <v>15</v>
      </c>
      <c r="B1">
        <v>17500000</v>
      </c>
      <c r="E1" s="35" t="s">
        <v>83</v>
      </c>
      <c r="F1" s="34">
        <v>1.05</v>
      </c>
      <c r="G1" s="34"/>
      <c r="H1" s="34"/>
      <c r="I1" s="34"/>
      <c r="J1" s="34"/>
    </row>
    <row r="2" spans="1:10" ht="12.75">
      <c r="A2" t="s">
        <v>16</v>
      </c>
      <c r="B2" s="15">
        <v>0.015</v>
      </c>
      <c r="E2" s="140" t="s">
        <v>84</v>
      </c>
      <c r="F2" s="34">
        <v>0.95</v>
      </c>
      <c r="G2" s="34"/>
      <c r="H2" s="34"/>
      <c r="I2" s="34"/>
      <c r="J2" s="34"/>
    </row>
    <row r="3" spans="1:18" ht="12.75">
      <c r="A3" s="5" t="s">
        <v>23</v>
      </c>
      <c r="B3" s="20">
        <f>8550000000*0.96</f>
        <v>8208000000</v>
      </c>
      <c r="C3" s="38" t="s">
        <v>86</v>
      </c>
      <c r="E3" s="141" t="s">
        <v>85</v>
      </c>
      <c r="F3" s="11">
        <v>0.98</v>
      </c>
      <c r="G3" s="11"/>
      <c r="H3" s="11"/>
      <c r="I3" s="11"/>
      <c r="J3" s="11"/>
      <c r="K3" s="5"/>
      <c r="L3" s="5"/>
      <c r="M3" s="5"/>
      <c r="N3" s="5"/>
      <c r="O3" s="5"/>
      <c r="P3" s="5"/>
      <c r="Q3" s="5"/>
      <c r="R3" s="5"/>
    </row>
    <row r="4" spans="1:18" ht="12.75">
      <c r="A4" s="11" t="s">
        <v>16</v>
      </c>
      <c r="B4" s="49">
        <v>0.01</v>
      </c>
      <c r="C4" s="38"/>
      <c r="E4" s="5"/>
      <c r="F4" s="11"/>
      <c r="G4" s="11"/>
      <c r="H4" s="11"/>
      <c r="I4" s="11"/>
      <c r="J4" s="11"/>
      <c r="K4" s="5"/>
      <c r="L4" s="5"/>
      <c r="M4" s="5"/>
      <c r="N4" s="5"/>
      <c r="O4" s="5"/>
      <c r="P4" s="5"/>
      <c r="Q4" s="5"/>
      <c r="R4" s="5"/>
    </row>
    <row r="5" spans="1:18" ht="12.75">
      <c r="A5" s="5" t="s">
        <v>1</v>
      </c>
      <c r="B5" s="8">
        <v>436000</v>
      </c>
      <c r="C5" s="38"/>
      <c r="E5" s="5"/>
      <c r="F5" s="11"/>
      <c r="G5" s="11"/>
      <c r="H5" s="11"/>
      <c r="I5" s="11"/>
      <c r="J5" s="11"/>
      <c r="K5" s="5"/>
      <c r="L5" s="5"/>
      <c r="M5" s="5"/>
      <c r="N5" s="5"/>
      <c r="O5" s="5"/>
      <c r="P5" s="5"/>
      <c r="Q5" s="5"/>
      <c r="R5" s="5"/>
    </row>
    <row r="6" spans="1:18" ht="12.75">
      <c r="A6" s="5"/>
      <c r="B6" s="8"/>
      <c r="C6" s="38"/>
      <c r="E6" s="5"/>
      <c r="F6" s="11"/>
      <c r="G6" s="11"/>
      <c r="H6" s="11"/>
      <c r="I6" s="11"/>
      <c r="J6" s="11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5"/>
      <c r="C7" s="38"/>
      <c r="D7" s="36"/>
      <c r="E7" s="5"/>
      <c r="F7" s="11"/>
      <c r="G7" s="11"/>
      <c r="H7" s="11"/>
      <c r="I7" s="11"/>
      <c r="J7" s="11"/>
      <c r="K7" s="5"/>
      <c r="L7" s="5"/>
      <c r="M7" s="5"/>
      <c r="N7" s="5"/>
      <c r="O7" s="5"/>
      <c r="P7" s="5"/>
      <c r="Q7" s="5"/>
      <c r="R7" s="5"/>
    </row>
    <row r="8" spans="1:18" ht="12.75">
      <c r="A8" s="5"/>
      <c r="B8" s="5" t="s">
        <v>14</v>
      </c>
      <c r="C8" s="38" t="s">
        <v>87</v>
      </c>
      <c r="D8" s="35" t="s">
        <v>88</v>
      </c>
      <c r="E8" s="5" t="s">
        <v>2</v>
      </c>
      <c r="F8" s="159" t="s">
        <v>24</v>
      </c>
      <c r="G8" s="159"/>
      <c r="H8" s="159"/>
      <c r="I8" s="159"/>
      <c r="J8" s="159"/>
      <c r="K8" s="5" t="s">
        <v>3</v>
      </c>
      <c r="L8" s="5"/>
      <c r="M8" s="5"/>
      <c r="N8" s="5"/>
      <c r="O8" s="5"/>
      <c r="P8" s="5"/>
      <c r="Q8" s="5"/>
      <c r="R8" s="5"/>
    </row>
    <row r="9" spans="1:18" ht="12.75">
      <c r="A9" s="5"/>
      <c r="B9" s="5"/>
      <c r="C9" s="38"/>
      <c r="D9" s="36"/>
      <c r="E9" s="5"/>
      <c r="F9" s="11" t="s">
        <v>4</v>
      </c>
      <c r="G9" s="11" t="s">
        <v>5</v>
      </c>
      <c r="H9" s="11" t="s">
        <v>6</v>
      </c>
      <c r="I9" s="11" t="s">
        <v>7</v>
      </c>
      <c r="J9" s="11" t="s">
        <v>8</v>
      </c>
      <c r="K9" s="5" t="s">
        <v>4</v>
      </c>
      <c r="L9" s="5" t="s">
        <v>5</v>
      </c>
      <c r="M9" s="5" t="s">
        <v>6</v>
      </c>
      <c r="N9" s="5" t="s">
        <v>7</v>
      </c>
      <c r="O9" s="5" t="s">
        <v>8</v>
      </c>
      <c r="P9" s="5"/>
      <c r="Q9" s="5"/>
      <c r="R9" s="5"/>
    </row>
    <row r="10" spans="1:18" ht="12.75">
      <c r="A10" s="100" t="s">
        <v>19</v>
      </c>
      <c r="B10" s="146">
        <f>$B$1</f>
        <v>17500000</v>
      </c>
      <c r="C10" s="101">
        <v>0.25</v>
      </c>
      <c r="D10" s="142">
        <f>R10*C10</f>
        <v>2052000000</v>
      </c>
      <c r="E10" s="100">
        <v>2005</v>
      </c>
      <c r="F10" s="101">
        <v>0.273</v>
      </c>
      <c r="G10" s="101">
        <v>3.28</v>
      </c>
      <c r="H10" s="101">
        <v>0.392</v>
      </c>
      <c r="I10" s="101">
        <v>0.049</v>
      </c>
      <c r="J10" s="100">
        <v>0.0275</v>
      </c>
      <c r="K10" s="100">
        <f>F10*$D10</f>
        <v>560196000</v>
      </c>
      <c r="L10" s="100">
        <f>G10*$D10</f>
        <v>6730560000</v>
      </c>
      <c r="M10" s="100">
        <f>H10*$D10</f>
        <v>804384000</v>
      </c>
      <c r="N10" s="100">
        <f>I10*$D10</f>
        <v>100548000</v>
      </c>
      <c r="O10" s="100">
        <f>J10*$D10</f>
        <v>56430000</v>
      </c>
      <c r="P10" s="100"/>
      <c r="Q10" s="5"/>
      <c r="R10" s="20">
        <f>$B$3</f>
        <v>8208000000</v>
      </c>
    </row>
    <row r="11" spans="1:18" ht="12.75">
      <c r="A11" s="100" t="s">
        <v>19</v>
      </c>
      <c r="B11" s="146">
        <f>B10*(1+$B$2)</f>
        <v>17762500</v>
      </c>
      <c r="C11" s="101">
        <f>C10-1/3*((C59-C58)+(C75-C74))</f>
        <v>0.25066666666666665</v>
      </c>
      <c r="D11" s="142">
        <f aca="true" t="shared" si="0" ref="D11:D74">R11*C11</f>
        <v>2078046719.9999998</v>
      </c>
      <c r="E11" s="100">
        <v>2006</v>
      </c>
      <c r="F11" s="100">
        <f>F10*$P11</f>
        <v>0.273</v>
      </c>
      <c r="G11" s="100">
        <f aca="true" t="shared" si="1" ref="G11:G25">G10*$P11</f>
        <v>3.28</v>
      </c>
      <c r="H11" s="100">
        <f aca="true" t="shared" si="2" ref="H11:H25">H10*$P11</f>
        <v>0.392</v>
      </c>
      <c r="I11" s="100">
        <f aca="true" t="shared" si="3" ref="I11:I25">I10*$P11</f>
        <v>0.049</v>
      </c>
      <c r="J11" s="100">
        <f aca="true" t="shared" si="4" ref="J11:J25">J10*$P11</f>
        <v>0.0275</v>
      </c>
      <c r="K11" s="100">
        <f aca="true" t="shared" si="5" ref="K11:K26">F11*$D11</f>
        <v>567306754.56</v>
      </c>
      <c r="L11" s="100">
        <f aca="true" t="shared" si="6" ref="L11:L26">G11*$D11</f>
        <v>6815993241.599998</v>
      </c>
      <c r="M11" s="100">
        <f aca="true" t="shared" si="7" ref="M11:M26">H11*$D11</f>
        <v>814594314.2399999</v>
      </c>
      <c r="N11" s="100">
        <f aca="true" t="shared" si="8" ref="N11:N26">I11*$D11</f>
        <v>101824289.27999999</v>
      </c>
      <c r="O11" s="100">
        <f aca="true" t="shared" si="9" ref="O11:O26">J11*$D11</f>
        <v>57146284.8</v>
      </c>
      <c r="P11" s="100">
        <v>1</v>
      </c>
      <c r="Q11" s="5"/>
      <c r="R11" s="20">
        <f>R10*(1+$B$4)</f>
        <v>8290080000</v>
      </c>
    </row>
    <row r="12" spans="1:18" ht="12.75">
      <c r="A12" s="100" t="s">
        <v>19</v>
      </c>
      <c r="B12" s="146">
        <f aca="true" t="shared" si="10" ref="B12:B25">B11*(1+$B$2)</f>
        <v>18028937.5</v>
      </c>
      <c r="C12" s="101">
        <f aca="true" t="shared" si="11" ref="C12:C25">C11-1/3*((C60-C59)+(C76-C75))</f>
        <v>0.2512833333333333</v>
      </c>
      <c r="D12" s="142">
        <f t="shared" si="0"/>
        <v>2103990525.3599997</v>
      </c>
      <c r="E12" s="100">
        <v>2007</v>
      </c>
      <c r="F12" s="100">
        <f aca="true" t="shared" si="12" ref="F12:F25">F11*$P12</f>
        <v>0.273</v>
      </c>
      <c r="G12" s="100">
        <f t="shared" si="1"/>
        <v>3.28</v>
      </c>
      <c r="H12" s="100">
        <f t="shared" si="2"/>
        <v>0.392</v>
      </c>
      <c r="I12" s="100">
        <f t="shared" si="3"/>
        <v>0.049</v>
      </c>
      <c r="J12" s="100">
        <f t="shared" si="4"/>
        <v>0.0275</v>
      </c>
      <c r="K12" s="100">
        <f t="shared" si="5"/>
        <v>574389413.42328</v>
      </c>
      <c r="L12" s="100">
        <f t="shared" si="6"/>
        <v>6901088923.180799</v>
      </c>
      <c r="M12" s="100">
        <f t="shared" si="7"/>
        <v>824764285.9411199</v>
      </c>
      <c r="N12" s="100">
        <f t="shared" si="8"/>
        <v>103095535.74263999</v>
      </c>
      <c r="O12" s="100">
        <f t="shared" si="9"/>
        <v>57859739.44739999</v>
      </c>
      <c r="P12" s="100">
        <v>1</v>
      </c>
      <c r="Q12" s="5"/>
      <c r="R12" s="20">
        <f aca="true" t="shared" si="13" ref="R12:R19">R11*(1+$B$4)</f>
        <v>8372980800</v>
      </c>
    </row>
    <row r="13" spans="1:18" ht="12.75">
      <c r="A13" s="100" t="s">
        <v>19</v>
      </c>
      <c r="B13" s="146">
        <f t="shared" si="10"/>
        <v>18299371.5625</v>
      </c>
      <c r="C13" s="101">
        <f t="shared" si="11"/>
        <v>0.25185166666666664</v>
      </c>
      <c r="D13" s="142">
        <f t="shared" si="0"/>
        <v>2129836661.14248</v>
      </c>
      <c r="E13" s="100">
        <v>2008</v>
      </c>
      <c r="F13" s="100">
        <f t="shared" si="12"/>
        <v>0.273</v>
      </c>
      <c r="G13" s="100">
        <f t="shared" si="1"/>
        <v>3.28</v>
      </c>
      <c r="H13" s="100">
        <f t="shared" si="2"/>
        <v>0.392</v>
      </c>
      <c r="I13" s="100">
        <f t="shared" si="3"/>
        <v>0.049</v>
      </c>
      <c r="J13" s="100">
        <f t="shared" si="4"/>
        <v>0.0275</v>
      </c>
      <c r="K13" s="100">
        <f t="shared" si="5"/>
        <v>581445408.4918971</v>
      </c>
      <c r="L13" s="100">
        <f t="shared" si="6"/>
        <v>6985864248.547334</v>
      </c>
      <c r="M13" s="100">
        <f t="shared" si="7"/>
        <v>834895971.1678522</v>
      </c>
      <c r="N13" s="100">
        <f t="shared" si="8"/>
        <v>104361996.39598152</v>
      </c>
      <c r="O13" s="100">
        <f t="shared" si="9"/>
        <v>58570508.181418195</v>
      </c>
      <c r="P13" s="100">
        <v>1</v>
      </c>
      <c r="Q13" s="5"/>
      <c r="R13" s="20">
        <f t="shared" si="13"/>
        <v>8456710608</v>
      </c>
    </row>
    <row r="14" spans="1:18" ht="12.75">
      <c r="A14" s="100" t="s">
        <v>19</v>
      </c>
      <c r="B14" s="146">
        <f t="shared" si="10"/>
        <v>18573862.135937497</v>
      </c>
      <c r="C14" s="101">
        <f t="shared" si="11"/>
        <v>0.2523732083333333</v>
      </c>
      <c r="D14" s="142">
        <f t="shared" si="0"/>
        <v>2155589659.968369</v>
      </c>
      <c r="E14" s="100">
        <v>2009</v>
      </c>
      <c r="F14" s="100">
        <f t="shared" si="12"/>
        <v>0.273</v>
      </c>
      <c r="G14" s="100">
        <f t="shared" si="1"/>
        <v>3.28</v>
      </c>
      <c r="H14" s="100">
        <f t="shared" si="2"/>
        <v>0.392</v>
      </c>
      <c r="I14" s="100">
        <f t="shared" si="3"/>
        <v>0.049</v>
      </c>
      <c r="J14" s="100">
        <f t="shared" si="4"/>
        <v>0.0275</v>
      </c>
      <c r="K14" s="100">
        <f t="shared" si="5"/>
        <v>588475977.1713648</v>
      </c>
      <c r="L14" s="100">
        <f t="shared" si="6"/>
        <v>7070334084.69625</v>
      </c>
      <c r="M14" s="100">
        <f t="shared" si="7"/>
        <v>844991146.7076007</v>
      </c>
      <c r="N14" s="100">
        <f t="shared" si="8"/>
        <v>105623893.33845009</v>
      </c>
      <c r="O14" s="100">
        <f t="shared" si="9"/>
        <v>59278715.64913015</v>
      </c>
      <c r="P14" s="100">
        <v>1</v>
      </c>
      <c r="Q14" s="5"/>
      <c r="R14" s="20">
        <f t="shared" si="13"/>
        <v>8541277714.08</v>
      </c>
    </row>
    <row r="15" spans="1:18" ht="12.75">
      <c r="A15" s="100" t="s">
        <v>19</v>
      </c>
      <c r="B15" s="146">
        <f t="shared" si="10"/>
        <v>18852470.067976557</v>
      </c>
      <c r="C15" s="101">
        <f t="shared" si="11"/>
        <v>0.25284937916666667</v>
      </c>
      <c r="D15" s="142">
        <f t="shared" si="0"/>
        <v>2181253334.968166</v>
      </c>
      <c r="E15" s="100">
        <v>2010</v>
      </c>
      <c r="F15" s="100">
        <f t="shared" si="12"/>
        <v>0.273</v>
      </c>
      <c r="G15" s="100">
        <f t="shared" si="1"/>
        <v>3.28</v>
      </c>
      <c r="H15" s="100">
        <f t="shared" si="2"/>
        <v>0.392</v>
      </c>
      <c r="I15" s="100">
        <f t="shared" si="3"/>
        <v>0.049</v>
      </c>
      <c r="J15" s="100">
        <f t="shared" si="4"/>
        <v>0.0275</v>
      </c>
      <c r="K15" s="100">
        <f t="shared" si="5"/>
        <v>595482160.4463093</v>
      </c>
      <c r="L15" s="100">
        <f t="shared" si="6"/>
        <v>7154510938.695583</v>
      </c>
      <c r="M15" s="100">
        <f t="shared" si="7"/>
        <v>855051307.3075211</v>
      </c>
      <c r="N15" s="100">
        <f t="shared" si="8"/>
        <v>106881413.41344014</v>
      </c>
      <c r="O15" s="100">
        <f t="shared" si="9"/>
        <v>59984466.71162456</v>
      </c>
      <c r="P15" s="100">
        <v>1</v>
      </c>
      <c r="Q15" s="5"/>
      <c r="R15" s="20">
        <f t="shared" si="13"/>
        <v>8626690491.2208</v>
      </c>
    </row>
    <row r="16" spans="1:18" ht="12.75">
      <c r="A16" s="100" t="s">
        <v>19</v>
      </c>
      <c r="B16" s="146">
        <f t="shared" si="10"/>
        <v>19135257.118996203</v>
      </c>
      <c r="C16" s="101">
        <f t="shared" si="11"/>
        <v>0.2532814830208333</v>
      </c>
      <c r="D16" s="142">
        <f t="shared" si="0"/>
        <v>2206830770.7899065</v>
      </c>
      <c r="E16" s="100">
        <v>2011</v>
      </c>
      <c r="F16" s="100">
        <f t="shared" si="12"/>
        <v>0.273</v>
      </c>
      <c r="G16" s="100">
        <f t="shared" si="1"/>
        <v>3.28</v>
      </c>
      <c r="H16" s="100">
        <f t="shared" si="2"/>
        <v>0.392</v>
      </c>
      <c r="I16" s="100">
        <f t="shared" si="3"/>
        <v>0.049</v>
      </c>
      <c r="J16" s="100">
        <f t="shared" si="4"/>
        <v>0.0275</v>
      </c>
      <c r="K16" s="100">
        <f t="shared" si="5"/>
        <v>602464800.4256445</v>
      </c>
      <c r="L16" s="100">
        <f t="shared" si="6"/>
        <v>7238404928.190893</v>
      </c>
      <c r="M16" s="100">
        <f t="shared" si="7"/>
        <v>865077662.1496434</v>
      </c>
      <c r="N16" s="100">
        <f t="shared" si="8"/>
        <v>108134707.76870543</v>
      </c>
      <c r="O16" s="100">
        <f t="shared" si="9"/>
        <v>60687846.196722426</v>
      </c>
      <c r="P16" s="100">
        <v>1</v>
      </c>
      <c r="Q16" s="5"/>
      <c r="R16" s="20">
        <f t="shared" si="13"/>
        <v>8712957396.133009</v>
      </c>
    </row>
    <row r="17" spans="1:18" ht="12.75">
      <c r="A17" s="100" t="s">
        <v>19</v>
      </c>
      <c r="B17" s="146">
        <f t="shared" si="10"/>
        <v>19422285.975781143</v>
      </c>
      <c r="C17" s="101">
        <f t="shared" si="11"/>
        <v>0.25367071032291666</v>
      </c>
      <c r="D17" s="142">
        <f t="shared" si="0"/>
        <v>2232324312.6072745</v>
      </c>
      <c r="E17" s="100">
        <v>2012</v>
      </c>
      <c r="F17" s="100">
        <f t="shared" si="12"/>
        <v>0.273</v>
      </c>
      <c r="G17" s="100">
        <f t="shared" si="1"/>
        <v>3.28</v>
      </c>
      <c r="H17" s="100">
        <f t="shared" si="2"/>
        <v>0.392</v>
      </c>
      <c r="I17" s="100">
        <f t="shared" si="3"/>
        <v>0.049</v>
      </c>
      <c r="J17" s="100">
        <f t="shared" si="4"/>
        <v>0.0275</v>
      </c>
      <c r="K17" s="100">
        <f t="shared" si="5"/>
        <v>609424537.341786</v>
      </c>
      <c r="L17" s="100">
        <f t="shared" si="6"/>
        <v>7322023745.35186</v>
      </c>
      <c r="M17" s="100">
        <f t="shared" si="7"/>
        <v>875071130.5420517</v>
      </c>
      <c r="N17" s="100">
        <f t="shared" si="8"/>
        <v>109383891.31775646</v>
      </c>
      <c r="O17" s="100">
        <f t="shared" si="9"/>
        <v>61388918.59670005</v>
      </c>
      <c r="P17" s="100">
        <v>1</v>
      </c>
      <c r="Q17" s="5"/>
      <c r="R17" s="20">
        <f t="shared" si="13"/>
        <v>8800086970.09434</v>
      </c>
    </row>
    <row r="18" spans="1:18" ht="12.75">
      <c r="A18" s="100" t="s">
        <v>19</v>
      </c>
      <c r="B18" s="146">
        <f t="shared" si="10"/>
        <v>19713620.26541786</v>
      </c>
      <c r="C18" s="101">
        <f t="shared" si="11"/>
        <v>0.25401814133255207</v>
      </c>
      <c r="D18" s="142">
        <f t="shared" si="0"/>
        <v>2257735553.0652556</v>
      </c>
      <c r="E18" s="100">
        <v>2013</v>
      </c>
      <c r="F18" s="100">
        <f t="shared" si="12"/>
        <v>0.273</v>
      </c>
      <c r="G18" s="100">
        <f t="shared" si="1"/>
        <v>3.28</v>
      </c>
      <c r="H18" s="100">
        <f t="shared" si="2"/>
        <v>0.392</v>
      </c>
      <c r="I18" s="100">
        <f t="shared" si="3"/>
        <v>0.049</v>
      </c>
      <c r="J18" s="100">
        <f t="shared" si="4"/>
        <v>0.0275</v>
      </c>
      <c r="K18" s="100">
        <f t="shared" si="5"/>
        <v>616361805.9868149</v>
      </c>
      <c r="L18" s="100">
        <f t="shared" si="6"/>
        <v>7405372614.054038</v>
      </c>
      <c r="M18" s="100">
        <f t="shared" si="7"/>
        <v>885032336.8015802</v>
      </c>
      <c r="N18" s="100">
        <f t="shared" si="8"/>
        <v>110629042.10019752</v>
      </c>
      <c r="O18" s="100">
        <f t="shared" si="9"/>
        <v>62087727.70929453</v>
      </c>
      <c r="P18" s="100">
        <v>1</v>
      </c>
      <c r="Q18" s="5"/>
      <c r="R18" s="20">
        <f t="shared" si="13"/>
        <v>8888087839.795282</v>
      </c>
    </row>
    <row r="19" spans="1:18" ht="12.75">
      <c r="A19" s="100" t="s">
        <v>19</v>
      </c>
      <c r="B19" s="146">
        <f t="shared" si="10"/>
        <v>20009324.569399126</v>
      </c>
      <c r="C19" s="101">
        <f t="shared" si="11"/>
        <v>0.2543247491179948</v>
      </c>
      <c r="D19" s="142">
        <f t="shared" si="0"/>
        <v>2283065317.094582</v>
      </c>
      <c r="E19" s="100">
        <v>2014</v>
      </c>
      <c r="F19" s="100">
        <f t="shared" si="12"/>
        <v>0.273</v>
      </c>
      <c r="G19" s="100">
        <f t="shared" si="1"/>
        <v>3.28</v>
      </c>
      <c r="H19" s="100">
        <f t="shared" si="2"/>
        <v>0.392</v>
      </c>
      <c r="I19" s="100">
        <f t="shared" si="3"/>
        <v>0.049</v>
      </c>
      <c r="J19" s="100">
        <f t="shared" si="4"/>
        <v>0.0275</v>
      </c>
      <c r="K19" s="100">
        <f t="shared" si="5"/>
        <v>623276831.566821</v>
      </c>
      <c r="L19" s="100">
        <f t="shared" si="6"/>
        <v>7488454240.070229</v>
      </c>
      <c r="M19" s="100">
        <f t="shared" si="7"/>
        <v>894961604.3010762</v>
      </c>
      <c r="N19" s="100">
        <f t="shared" si="8"/>
        <v>111870200.53763452</v>
      </c>
      <c r="O19" s="100">
        <f t="shared" si="9"/>
        <v>62784296.22010101</v>
      </c>
      <c r="P19" s="100">
        <v>1</v>
      </c>
      <c r="Q19" s="5"/>
      <c r="R19" s="20">
        <f t="shared" si="13"/>
        <v>8976968718.193235</v>
      </c>
    </row>
    <row r="20" spans="1:18" ht="12.75">
      <c r="A20" s="100" t="s">
        <v>19</v>
      </c>
      <c r="B20" s="146">
        <f t="shared" si="10"/>
        <v>20309464.43794011</v>
      </c>
      <c r="C20" s="101">
        <f t="shared" si="11"/>
        <v>0.2545914022567689</v>
      </c>
      <c r="D20" s="142">
        <f t="shared" si="0"/>
        <v>2285230508.0745673</v>
      </c>
      <c r="E20" s="100">
        <v>2015</v>
      </c>
      <c r="F20" s="100">
        <f t="shared" si="12"/>
        <v>0.273</v>
      </c>
      <c r="G20" s="100">
        <f t="shared" si="1"/>
        <v>3.28</v>
      </c>
      <c r="H20" s="100">
        <f t="shared" si="2"/>
        <v>0.392</v>
      </c>
      <c r="I20" s="100">
        <f t="shared" si="3"/>
        <v>0.049</v>
      </c>
      <c r="J20" s="100">
        <f t="shared" si="4"/>
        <v>0.0275</v>
      </c>
      <c r="K20" s="100">
        <f t="shared" si="5"/>
        <v>623867928.7043569</v>
      </c>
      <c r="L20" s="100">
        <f t="shared" si="6"/>
        <v>7495556066.48458</v>
      </c>
      <c r="M20" s="100">
        <f t="shared" si="7"/>
        <v>895810359.1652304</v>
      </c>
      <c r="N20" s="100">
        <f t="shared" si="8"/>
        <v>111976294.8956538</v>
      </c>
      <c r="O20" s="100">
        <f t="shared" si="9"/>
        <v>62843838.9720506</v>
      </c>
      <c r="P20" s="100">
        <v>1</v>
      </c>
      <c r="Q20" s="5"/>
      <c r="R20" s="20">
        <f aca="true" t="shared" si="14" ref="R20:R25">R19*(1+$B$4)*0.99</f>
        <v>8976071021.321417</v>
      </c>
    </row>
    <row r="21" spans="1:18" ht="12.75">
      <c r="A21" s="100" t="s">
        <v>19</v>
      </c>
      <c r="B21" s="146">
        <f t="shared" si="10"/>
        <v>20614106.40450921</v>
      </c>
      <c r="C21" s="101">
        <f t="shared" si="11"/>
        <v>0.25451949879871877</v>
      </c>
      <c r="D21" s="142">
        <f t="shared" si="0"/>
        <v>2284356639.018678</v>
      </c>
      <c r="E21" s="100">
        <v>2016</v>
      </c>
      <c r="F21" s="100">
        <f t="shared" si="12"/>
        <v>0.273</v>
      </c>
      <c r="G21" s="100">
        <f t="shared" si="1"/>
        <v>3.28</v>
      </c>
      <c r="H21" s="100">
        <f t="shared" si="2"/>
        <v>0.392</v>
      </c>
      <c r="I21" s="100">
        <f t="shared" si="3"/>
        <v>0.049</v>
      </c>
      <c r="J21" s="100">
        <f t="shared" si="4"/>
        <v>0.0275</v>
      </c>
      <c r="K21" s="100">
        <f t="shared" si="5"/>
        <v>623629362.4520992</v>
      </c>
      <c r="L21" s="100">
        <f t="shared" si="6"/>
        <v>7492689775.981264</v>
      </c>
      <c r="M21" s="100">
        <f t="shared" si="7"/>
        <v>895467802.4953219</v>
      </c>
      <c r="N21" s="100">
        <f t="shared" si="8"/>
        <v>111933475.31191523</v>
      </c>
      <c r="O21" s="100">
        <f t="shared" si="9"/>
        <v>62819807.57301365</v>
      </c>
      <c r="P21" s="100">
        <v>1</v>
      </c>
      <c r="Q21" s="5"/>
      <c r="R21" s="20">
        <f t="shared" si="14"/>
        <v>8975173414.219286</v>
      </c>
    </row>
    <row r="22" spans="1:18" ht="12.75">
      <c r="A22" s="100" t="s">
        <v>19</v>
      </c>
      <c r="B22" s="146">
        <f t="shared" si="10"/>
        <v>20923318.000576846</v>
      </c>
      <c r="C22" s="101">
        <f t="shared" si="11"/>
        <v>0.25443002963918393</v>
      </c>
      <c r="D22" s="142">
        <f t="shared" si="0"/>
        <v>2283325282.432849</v>
      </c>
      <c r="E22" s="100">
        <v>2017</v>
      </c>
      <c r="F22" s="100">
        <f t="shared" si="12"/>
        <v>0.273</v>
      </c>
      <c r="G22" s="100">
        <f t="shared" si="1"/>
        <v>3.28</v>
      </c>
      <c r="H22" s="100">
        <f t="shared" si="2"/>
        <v>0.392</v>
      </c>
      <c r="I22" s="100">
        <f t="shared" si="3"/>
        <v>0.049</v>
      </c>
      <c r="J22" s="100">
        <f t="shared" si="4"/>
        <v>0.0275</v>
      </c>
      <c r="K22" s="100">
        <f t="shared" si="5"/>
        <v>623347802.1041678</v>
      </c>
      <c r="L22" s="100">
        <f t="shared" si="6"/>
        <v>7489306926.379744</v>
      </c>
      <c r="M22" s="100">
        <f t="shared" si="7"/>
        <v>895063510.7136768</v>
      </c>
      <c r="N22" s="100">
        <f t="shared" si="8"/>
        <v>111882938.8392096</v>
      </c>
      <c r="O22" s="100">
        <f t="shared" si="9"/>
        <v>62791445.26690335</v>
      </c>
      <c r="P22" s="100">
        <v>1</v>
      </c>
      <c r="Q22" s="5"/>
      <c r="R22" s="20">
        <f t="shared" si="14"/>
        <v>8974275896.877865</v>
      </c>
    </row>
    <row r="23" spans="1:18" ht="12.75">
      <c r="A23" s="100" t="s">
        <v>19</v>
      </c>
      <c r="B23" s="146">
        <f t="shared" si="10"/>
        <v>21237167.770585496</v>
      </c>
      <c r="C23" s="101">
        <f t="shared" si="11"/>
        <v>0.25432239590366174</v>
      </c>
      <c r="D23" s="142">
        <f t="shared" si="0"/>
        <v>2282131111.659702</v>
      </c>
      <c r="E23" s="100">
        <v>2018</v>
      </c>
      <c r="F23" s="100">
        <f t="shared" si="12"/>
        <v>0.273</v>
      </c>
      <c r="G23" s="100">
        <f t="shared" si="1"/>
        <v>3.28</v>
      </c>
      <c r="H23" s="100">
        <f t="shared" si="2"/>
        <v>0.392</v>
      </c>
      <c r="I23" s="100">
        <f t="shared" si="3"/>
        <v>0.049</v>
      </c>
      <c r="J23" s="100">
        <f t="shared" si="4"/>
        <v>0.0275</v>
      </c>
      <c r="K23" s="100">
        <f t="shared" si="5"/>
        <v>623021793.4830986</v>
      </c>
      <c r="L23" s="100">
        <f t="shared" si="6"/>
        <v>7485390046.243821</v>
      </c>
      <c r="M23" s="100">
        <f t="shared" si="7"/>
        <v>894595395.7706032</v>
      </c>
      <c r="N23" s="100">
        <f t="shared" si="8"/>
        <v>111824424.4713254</v>
      </c>
      <c r="O23" s="100">
        <f t="shared" si="9"/>
        <v>62758605.5706418</v>
      </c>
      <c r="P23" s="100">
        <v>1</v>
      </c>
      <c r="Q23" s="5"/>
      <c r="R23" s="20">
        <f t="shared" si="14"/>
        <v>8973378469.288177</v>
      </c>
    </row>
    <row r="24" spans="1:18" ht="12.75">
      <c r="A24" s="100" t="s">
        <v>19</v>
      </c>
      <c r="B24" s="146">
        <f t="shared" si="10"/>
        <v>21555725.287144277</v>
      </c>
      <c r="C24" s="101">
        <f t="shared" si="11"/>
        <v>0.2541959631857131</v>
      </c>
      <c r="D24" s="142">
        <f t="shared" si="0"/>
        <v>2280768483.372345</v>
      </c>
      <c r="E24" s="100">
        <v>2019</v>
      </c>
      <c r="F24" s="100">
        <f t="shared" si="12"/>
        <v>0.273</v>
      </c>
      <c r="G24" s="100">
        <f t="shared" si="1"/>
        <v>3.28</v>
      </c>
      <c r="H24" s="100">
        <f t="shared" si="2"/>
        <v>0.392</v>
      </c>
      <c r="I24" s="100">
        <f t="shared" si="3"/>
        <v>0.049</v>
      </c>
      <c r="J24" s="100">
        <f t="shared" si="4"/>
        <v>0.0275</v>
      </c>
      <c r="K24" s="100">
        <f t="shared" si="5"/>
        <v>622649795.9606502</v>
      </c>
      <c r="L24" s="100">
        <f t="shared" si="6"/>
        <v>7480920625.461291</v>
      </c>
      <c r="M24" s="100">
        <f t="shared" si="7"/>
        <v>894061245.4819592</v>
      </c>
      <c r="N24" s="100">
        <f t="shared" si="8"/>
        <v>111757655.6852449</v>
      </c>
      <c r="O24" s="100">
        <f t="shared" si="9"/>
        <v>62721133.29273949</v>
      </c>
      <c r="P24" s="100">
        <v>1</v>
      </c>
      <c r="Q24" s="5"/>
      <c r="R24" s="20">
        <f t="shared" si="14"/>
        <v>8972481131.44125</v>
      </c>
    </row>
    <row r="25" spans="1:18" ht="12.75">
      <c r="A25" s="100" t="s">
        <v>19</v>
      </c>
      <c r="B25" s="146">
        <f t="shared" si="10"/>
        <v>21879061.16645144</v>
      </c>
      <c r="C25" s="101">
        <f t="shared" si="11"/>
        <v>0.25405005988212964</v>
      </c>
      <c r="D25" s="142">
        <f t="shared" si="0"/>
        <v>2279231422.7970543</v>
      </c>
      <c r="E25" s="100">
        <v>2020</v>
      </c>
      <c r="F25" s="100">
        <f t="shared" si="12"/>
        <v>0.273</v>
      </c>
      <c r="G25" s="100">
        <f t="shared" si="1"/>
        <v>3.28</v>
      </c>
      <c r="H25" s="100">
        <f t="shared" si="2"/>
        <v>0.392</v>
      </c>
      <c r="I25" s="100">
        <f t="shared" si="3"/>
        <v>0.049</v>
      </c>
      <c r="J25" s="100">
        <f t="shared" si="4"/>
        <v>0.0275</v>
      </c>
      <c r="K25" s="100">
        <f t="shared" si="5"/>
        <v>622230178.4235959</v>
      </c>
      <c r="L25" s="100">
        <f t="shared" si="6"/>
        <v>7475879066.774338</v>
      </c>
      <c r="M25" s="100">
        <f t="shared" si="7"/>
        <v>893458717.7364453</v>
      </c>
      <c r="N25" s="100">
        <f t="shared" si="8"/>
        <v>111682339.71705566</v>
      </c>
      <c r="O25" s="100">
        <f t="shared" si="9"/>
        <v>62678864.126918994</v>
      </c>
      <c r="P25" s="100">
        <v>1</v>
      </c>
      <c r="Q25" s="5"/>
      <c r="R25" s="20">
        <f t="shared" si="14"/>
        <v>8971583883.328106</v>
      </c>
    </row>
    <row r="26" spans="1:18" ht="12.75">
      <c r="A26" s="102" t="s">
        <v>20</v>
      </c>
      <c r="B26" s="56">
        <f>$B$1</f>
        <v>17500000</v>
      </c>
      <c r="C26" s="103">
        <v>0.2</v>
      </c>
      <c r="D26" s="143">
        <f t="shared" si="0"/>
        <v>1641600000</v>
      </c>
      <c r="E26" s="102">
        <v>2005</v>
      </c>
      <c r="F26" s="103">
        <v>0.864</v>
      </c>
      <c r="G26" s="103">
        <v>9.88</v>
      </c>
      <c r="H26" s="103">
        <v>1.766</v>
      </c>
      <c r="I26" s="103">
        <v>0.746</v>
      </c>
      <c r="J26" s="102">
        <v>0.075</v>
      </c>
      <c r="K26" s="102">
        <f t="shared" si="5"/>
        <v>1418342400</v>
      </c>
      <c r="L26" s="102">
        <f t="shared" si="6"/>
        <v>16219008000.000002</v>
      </c>
      <c r="M26" s="102">
        <f t="shared" si="7"/>
        <v>2899065600</v>
      </c>
      <c r="N26" s="102">
        <f t="shared" si="8"/>
        <v>1224633600</v>
      </c>
      <c r="O26" s="102">
        <f t="shared" si="9"/>
        <v>123120000</v>
      </c>
      <c r="P26" s="102"/>
      <c r="Q26" s="5"/>
      <c r="R26" s="20">
        <f>$B$3</f>
        <v>8208000000</v>
      </c>
    </row>
    <row r="27" spans="1:18" ht="12.75">
      <c r="A27" s="102" t="s">
        <v>20</v>
      </c>
      <c r="B27" s="56">
        <f>B26*(1+$B$2)</f>
        <v>17762500</v>
      </c>
      <c r="C27" s="103">
        <f>C26-1/3*((C59-C58)+(C75-C74))</f>
        <v>0.2006666666666667</v>
      </c>
      <c r="D27" s="143">
        <f t="shared" si="0"/>
        <v>1663542720.0000002</v>
      </c>
      <c r="E27" s="102">
        <v>2006</v>
      </c>
      <c r="F27" s="102">
        <f>F26*$P27</f>
        <v>0.864</v>
      </c>
      <c r="G27" s="102">
        <f aca="true" t="shared" si="15" ref="G27:G41">G26*$P27</f>
        <v>9.88</v>
      </c>
      <c r="H27" s="102">
        <f aca="true" t="shared" si="16" ref="H27:H41">H26*$P27</f>
        <v>1.766</v>
      </c>
      <c r="I27" s="102">
        <f aca="true" t="shared" si="17" ref="I27:I41">I26*$P27</f>
        <v>0.746</v>
      </c>
      <c r="J27" s="102">
        <f aca="true" t="shared" si="18" ref="J27:J41">J26*$P27</f>
        <v>0.075</v>
      </c>
      <c r="K27" s="102">
        <f aca="true" t="shared" si="19" ref="K27:K89">F27*$D27</f>
        <v>1437300910.0800002</v>
      </c>
      <c r="L27" s="102">
        <f aca="true" t="shared" si="20" ref="L27:L89">G27*$D27</f>
        <v>16435802073.600004</v>
      </c>
      <c r="M27" s="102">
        <f aca="true" t="shared" si="21" ref="M27:M89">H27*$D27</f>
        <v>2937816443.5200005</v>
      </c>
      <c r="N27" s="102">
        <f aca="true" t="shared" si="22" ref="N27:N89">I27*$D27</f>
        <v>1241002869.1200001</v>
      </c>
      <c r="O27" s="102">
        <f aca="true" t="shared" si="23" ref="O27:O89">J27*$D27</f>
        <v>124765704.00000001</v>
      </c>
      <c r="P27" s="102">
        <v>1</v>
      </c>
      <c r="Q27" s="5"/>
      <c r="R27" s="20">
        <f>R26*(1+$B$4)</f>
        <v>8290080000</v>
      </c>
    </row>
    <row r="28" spans="1:18" ht="12.75">
      <c r="A28" s="102" t="s">
        <v>20</v>
      </c>
      <c r="B28" s="56">
        <f aca="true" t="shared" si="24" ref="B28:B41">B27*(1+$B$2)</f>
        <v>18028937.5</v>
      </c>
      <c r="C28" s="103">
        <f aca="true" t="shared" si="25" ref="C28:C41">C27-1/3*((C60-C59)+(C76-C75))</f>
        <v>0.20128333333333334</v>
      </c>
      <c r="D28" s="143">
        <f t="shared" si="0"/>
        <v>1685341485.3600001</v>
      </c>
      <c r="E28" s="102">
        <v>2007</v>
      </c>
      <c r="F28" s="102">
        <f aca="true" t="shared" si="26" ref="F28:F41">F27*$P28</f>
        <v>0.864</v>
      </c>
      <c r="G28" s="102">
        <f t="shared" si="15"/>
        <v>9.88</v>
      </c>
      <c r="H28" s="102">
        <f t="shared" si="16"/>
        <v>1.766</v>
      </c>
      <c r="I28" s="102">
        <f t="shared" si="17"/>
        <v>0.746</v>
      </c>
      <c r="J28" s="102">
        <f t="shared" si="18"/>
        <v>0.075</v>
      </c>
      <c r="K28" s="102">
        <f t="shared" si="19"/>
        <v>1456135043.3510401</v>
      </c>
      <c r="L28" s="102">
        <f t="shared" si="20"/>
        <v>16651173875.356802</v>
      </c>
      <c r="M28" s="102">
        <f t="shared" si="21"/>
        <v>2976313063.14576</v>
      </c>
      <c r="N28" s="102">
        <f t="shared" si="22"/>
        <v>1257264748.07856</v>
      </c>
      <c r="O28" s="102">
        <f t="shared" si="23"/>
        <v>126400611.40200001</v>
      </c>
      <c r="P28" s="102">
        <v>1</v>
      </c>
      <c r="Q28" s="5"/>
      <c r="R28" s="20">
        <f aca="true" t="shared" si="27" ref="R28:R35">R27*(1+$B$4)</f>
        <v>8372980800</v>
      </c>
    </row>
    <row r="29" spans="1:18" ht="12.75">
      <c r="A29" s="102" t="s">
        <v>20</v>
      </c>
      <c r="B29" s="56">
        <f t="shared" si="24"/>
        <v>18299371.5625</v>
      </c>
      <c r="C29" s="103">
        <f t="shared" si="25"/>
        <v>0.20185166666666668</v>
      </c>
      <c r="D29" s="143">
        <f t="shared" si="0"/>
        <v>1707001130.74248</v>
      </c>
      <c r="E29" s="102">
        <v>2008</v>
      </c>
      <c r="F29" s="102">
        <f t="shared" si="26"/>
        <v>0.864</v>
      </c>
      <c r="G29" s="102">
        <f t="shared" si="15"/>
        <v>9.88</v>
      </c>
      <c r="H29" s="102">
        <f t="shared" si="16"/>
        <v>1.766</v>
      </c>
      <c r="I29" s="102">
        <f t="shared" si="17"/>
        <v>0.746</v>
      </c>
      <c r="J29" s="102">
        <f t="shared" si="18"/>
        <v>0.075</v>
      </c>
      <c r="K29" s="102">
        <f t="shared" si="19"/>
        <v>1474848976.9615028</v>
      </c>
      <c r="L29" s="102">
        <f t="shared" si="20"/>
        <v>16865171171.735704</v>
      </c>
      <c r="M29" s="102">
        <f t="shared" si="21"/>
        <v>3014563996.8912196</v>
      </c>
      <c r="N29" s="102">
        <f t="shared" si="22"/>
        <v>1273422843.53389</v>
      </c>
      <c r="O29" s="102">
        <f t="shared" si="23"/>
        <v>128025084.805686</v>
      </c>
      <c r="P29" s="102">
        <v>1</v>
      </c>
      <c r="R29" s="20">
        <f t="shared" si="27"/>
        <v>8456710608</v>
      </c>
    </row>
    <row r="30" spans="1:18" ht="12.75">
      <c r="A30" s="102" t="s">
        <v>20</v>
      </c>
      <c r="B30" s="56">
        <f t="shared" si="24"/>
        <v>18573862.135937497</v>
      </c>
      <c r="C30" s="103">
        <f t="shared" si="25"/>
        <v>0.20237320833333336</v>
      </c>
      <c r="D30" s="143">
        <f t="shared" si="0"/>
        <v>1728525774.2643692</v>
      </c>
      <c r="E30" s="102">
        <v>2009</v>
      </c>
      <c r="F30" s="102">
        <f t="shared" si="26"/>
        <v>0.864</v>
      </c>
      <c r="G30" s="102">
        <f t="shared" si="15"/>
        <v>9.88</v>
      </c>
      <c r="H30" s="102">
        <f t="shared" si="16"/>
        <v>1.766</v>
      </c>
      <c r="I30" s="102">
        <f t="shared" si="17"/>
        <v>0.746</v>
      </c>
      <c r="J30" s="102">
        <f t="shared" si="18"/>
        <v>0.075</v>
      </c>
      <c r="K30" s="102">
        <f t="shared" si="19"/>
        <v>1493446268.964415</v>
      </c>
      <c r="L30" s="102">
        <f t="shared" si="20"/>
        <v>17077834649.73197</v>
      </c>
      <c r="M30" s="102">
        <f t="shared" si="21"/>
        <v>3052576517.3508763</v>
      </c>
      <c r="N30" s="102">
        <f t="shared" si="22"/>
        <v>1289480227.6012194</v>
      </c>
      <c r="O30" s="102">
        <f t="shared" si="23"/>
        <v>129639433.06982769</v>
      </c>
      <c r="P30" s="102">
        <v>1</v>
      </c>
      <c r="R30" s="20">
        <f t="shared" si="27"/>
        <v>8541277714.08</v>
      </c>
    </row>
    <row r="31" spans="1:18" ht="12.75">
      <c r="A31" s="102" t="s">
        <v>20</v>
      </c>
      <c r="B31" s="56">
        <f t="shared" si="24"/>
        <v>18852470.067976557</v>
      </c>
      <c r="C31" s="103">
        <f t="shared" si="25"/>
        <v>0.2028493791666667</v>
      </c>
      <c r="D31" s="143">
        <f t="shared" si="0"/>
        <v>1749918810.4071264</v>
      </c>
      <c r="E31" s="102">
        <v>2010</v>
      </c>
      <c r="F31" s="102">
        <f t="shared" si="26"/>
        <v>0.864</v>
      </c>
      <c r="G31" s="102">
        <f t="shared" si="15"/>
        <v>9.88</v>
      </c>
      <c r="H31" s="102">
        <f t="shared" si="16"/>
        <v>1.766</v>
      </c>
      <c r="I31" s="102">
        <f t="shared" si="17"/>
        <v>0.746</v>
      </c>
      <c r="J31" s="102">
        <f t="shared" si="18"/>
        <v>0.075</v>
      </c>
      <c r="K31" s="102">
        <f t="shared" si="19"/>
        <v>1511929852.1917572</v>
      </c>
      <c r="L31" s="102">
        <f t="shared" si="20"/>
        <v>17289197846.82241</v>
      </c>
      <c r="M31" s="102">
        <f t="shared" si="21"/>
        <v>3090356619.178985</v>
      </c>
      <c r="N31" s="102">
        <f t="shared" si="22"/>
        <v>1305439432.5637164</v>
      </c>
      <c r="O31" s="102">
        <f t="shared" si="23"/>
        <v>131243910.78053448</v>
      </c>
      <c r="P31" s="102">
        <v>1</v>
      </c>
      <c r="R31" s="20">
        <f t="shared" si="27"/>
        <v>8626690491.2208</v>
      </c>
    </row>
    <row r="32" spans="1:18" ht="12.75">
      <c r="A32" s="102" t="s">
        <v>20</v>
      </c>
      <c r="B32" s="56">
        <f t="shared" si="24"/>
        <v>19135257.118996203</v>
      </c>
      <c r="C32" s="103">
        <f t="shared" si="25"/>
        <v>0.20328148302083338</v>
      </c>
      <c r="D32" s="143">
        <f t="shared" si="0"/>
        <v>1771182900.9832568</v>
      </c>
      <c r="E32" s="102">
        <v>2011</v>
      </c>
      <c r="F32" s="102">
        <f t="shared" si="26"/>
        <v>0.864</v>
      </c>
      <c r="G32" s="102">
        <f t="shared" si="15"/>
        <v>9.88</v>
      </c>
      <c r="H32" s="102">
        <f t="shared" si="16"/>
        <v>1.766</v>
      </c>
      <c r="I32" s="102">
        <f t="shared" si="17"/>
        <v>0.746</v>
      </c>
      <c r="J32" s="102">
        <f t="shared" si="18"/>
        <v>0.075</v>
      </c>
      <c r="K32" s="102">
        <f t="shared" si="19"/>
        <v>1530302026.449534</v>
      </c>
      <c r="L32" s="102">
        <f t="shared" si="20"/>
        <v>17499287061.71458</v>
      </c>
      <c r="M32" s="102">
        <f t="shared" si="21"/>
        <v>3127909003.1364317</v>
      </c>
      <c r="N32" s="102">
        <f t="shared" si="22"/>
        <v>1321302444.1335096</v>
      </c>
      <c r="O32" s="102">
        <f t="shared" si="23"/>
        <v>132838717.57374425</v>
      </c>
      <c r="P32" s="102">
        <v>1</v>
      </c>
      <c r="R32" s="20">
        <f t="shared" si="27"/>
        <v>8712957396.133009</v>
      </c>
    </row>
    <row r="33" spans="1:18" ht="12.75">
      <c r="A33" s="102" t="s">
        <v>20</v>
      </c>
      <c r="B33" s="56">
        <f t="shared" si="24"/>
        <v>19422285.975781143</v>
      </c>
      <c r="C33" s="103">
        <f t="shared" si="25"/>
        <v>0.2036707103229167</v>
      </c>
      <c r="D33" s="143">
        <f t="shared" si="0"/>
        <v>1792319964.102558</v>
      </c>
      <c r="E33" s="102">
        <v>2012</v>
      </c>
      <c r="F33" s="102">
        <f t="shared" si="26"/>
        <v>0.864</v>
      </c>
      <c r="G33" s="102">
        <f t="shared" si="15"/>
        <v>9.88</v>
      </c>
      <c r="H33" s="102">
        <f t="shared" si="16"/>
        <v>1.766</v>
      </c>
      <c r="I33" s="102">
        <f t="shared" si="17"/>
        <v>0.746</v>
      </c>
      <c r="J33" s="102">
        <f t="shared" si="18"/>
        <v>0.075</v>
      </c>
      <c r="K33" s="102">
        <f t="shared" si="19"/>
        <v>1548564448.98461</v>
      </c>
      <c r="L33" s="102">
        <f t="shared" si="20"/>
        <v>17708121245.333275</v>
      </c>
      <c r="M33" s="102">
        <f t="shared" si="21"/>
        <v>3165237056.6051173</v>
      </c>
      <c r="N33" s="102">
        <f t="shared" si="22"/>
        <v>1337070693.220508</v>
      </c>
      <c r="O33" s="102">
        <f t="shared" si="23"/>
        <v>134423997.30769184</v>
      </c>
      <c r="P33" s="102">
        <v>1</v>
      </c>
      <c r="R33" s="20">
        <f t="shared" si="27"/>
        <v>8800086970.09434</v>
      </c>
    </row>
    <row r="34" spans="1:18" ht="12.75">
      <c r="A34" s="102" t="s">
        <v>20</v>
      </c>
      <c r="B34" s="56">
        <f t="shared" si="24"/>
        <v>19713620.26541786</v>
      </c>
      <c r="C34" s="103">
        <f t="shared" si="25"/>
        <v>0.2040181413325521</v>
      </c>
      <c r="D34" s="143">
        <f t="shared" si="0"/>
        <v>1813331161.0754917</v>
      </c>
      <c r="E34" s="102">
        <v>2013</v>
      </c>
      <c r="F34" s="102">
        <f t="shared" si="26"/>
        <v>0.864</v>
      </c>
      <c r="G34" s="102">
        <f t="shared" si="15"/>
        <v>9.88</v>
      </c>
      <c r="H34" s="102">
        <f t="shared" si="16"/>
        <v>1.766</v>
      </c>
      <c r="I34" s="102">
        <f t="shared" si="17"/>
        <v>0.746</v>
      </c>
      <c r="J34" s="102">
        <f t="shared" si="18"/>
        <v>0.075</v>
      </c>
      <c r="K34" s="102">
        <f t="shared" si="19"/>
        <v>1566718123.1692247</v>
      </c>
      <c r="L34" s="102">
        <f t="shared" si="20"/>
        <v>17915711871.425858</v>
      </c>
      <c r="M34" s="102">
        <f t="shared" si="21"/>
        <v>3202342830.459318</v>
      </c>
      <c r="N34" s="102">
        <f t="shared" si="22"/>
        <v>1352745046.1623168</v>
      </c>
      <c r="O34" s="102">
        <f t="shared" si="23"/>
        <v>135999837.08066186</v>
      </c>
      <c r="P34" s="102">
        <v>1</v>
      </c>
      <c r="R34" s="20">
        <f t="shared" si="27"/>
        <v>8888087839.795282</v>
      </c>
    </row>
    <row r="35" spans="1:18" ht="12.75">
      <c r="A35" s="102" t="s">
        <v>20</v>
      </c>
      <c r="B35" s="56">
        <f t="shared" si="24"/>
        <v>20009324.569399126</v>
      </c>
      <c r="C35" s="103">
        <f t="shared" si="25"/>
        <v>0.2043247491179948</v>
      </c>
      <c r="D35" s="143">
        <f t="shared" si="0"/>
        <v>1834216881.1849203</v>
      </c>
      <c r="E35" s="102">
        <v>2014</v>
      </c>
      <c r="F35" s="102">
        <f t="shared" si="26"/>
        <v>0.864</v>
      </c>
      <c r="G35" s="102">
        <f t="shared" si="15"/>
        <v>9.88</v>
      </c>
      <c r="H35" s="102">
        <f t="shared" si="16"/>
        <v>1.766</v>
      </c>
      <c r="I35" s="102">
        <f t="shared" si="17"/>
        <v>0.746</v>
      </c>
      <c r="J35" s="102">
        <f t="shared" si="18"/>
        <v>0.075</v>
      </c>
      <c r="K35" s="102">
        <f t="shared" si="19"/>
        <v>1584763385.3437712</v>
      </c>
      <c r="L35" s="102">
        <f t="shared" si="20"/>
        <v>18122062786.107014</v>
      </c>
      <c r="M35" s="102">
        <f t="shared" si="21"/>
        <v>3239227012.1725693</v>
      </c>
      <c r="N35" s="102">
        <f t="shared" si="22"/>
        <v>1368325793.3639505</v>
      </c>
      <c r="O35" s="102">
        <f t="shared" si="23"/>
        <v>137566266.088869</v>
      </c>
      <c r="P35" s="102">
        <v>1</v>
      </c>
      <c r="R35" s="20">
        <f t="shared" si="27"/>
        <v>8976968718.193235</v>
      </c>
    </row>
    <row r="36" spans="1:18" ht="12.75">
      <c r="A36" s="102" t="s">
        <v>20</v>
      </c>
      <c r="B36" s="56">
        <f t="shared" si="24"/>
        <v>20309464.43794011</v>
      </c>
      <c r="C36" s="103">
        <f t="shared" si="25"/>
        <v>0.2045914022567689</v>
      </c>
      <c r="D36" s="143">
        <f t="shared" si="0"/>
        <v>1836426957.0084963</v>
      </c>
      <c r="E36" s="102">
        <v>2015</v>
      </c>
      <c r="F36" s="102">
        <f t="shared" si="26"/>
        <v>0.864</v>
      </c>
      <c r="G36" s="102">
        <f t="shared" si="15"/>
        <v>9.88</v>
      </c>
      <c r="H36" s="102">
        <f t="shared" si="16"/>
        <v>1.766</v>
      </c>
      <c r="I36" s="102">
        <f t="shared" si="17"/>
        <v>0.746</v>
      </c>
      <c r="J36" s="102">
        <f t="shared" si="18"/>
        <v>0.075</v>
      </c>
      <c r="K36" s="102">
        <f t="shared" si="19"/>
        <v>1586672890.8553407</v>
      </c>
      <c r="L36" s="102">
        <f t="shared" si="20"/>
        <v>18143898335.243946</v>
      </c>
      <c r="M36" s="102">
        <f t="shared" si="21"/>
        <v>3243130006.0770044</v>
      </c>
      <c r="N36" s="102">
        <f t="shared" si="22"/>
        <v>1369974509.9283383</v>
      </c>
      <c r="O36" s="102">
        <f t="shared" si="23"/>
        <v>137732021.7756372</v>
      </c>
      <c r="P36" s="102">
        <v>1</v>
      </c>
      <c r="R36" s="20">
        <f aca="true" t="shared" si="28" ref="R36:R41">R35*(1+$B$4)*0.99</f>
        <v>8976071021.321417</v>
      </c>
    </row>
    <row r="37" spans="1:18" ht="12.75">
      <c r="A37" s="102" t="s">
        <v>20</v>
      </c>
      <c r="B37" s="56">
        <f t="shared" si="24"/>
        <v>20614106.40450921</v>
      </c>
      <c r="C37" s="103">
        <f t="shared" si="25"/>
        <v>0.20451949879871878</v>
      </c>
      <c r="D37" s="143">
        <f t="shared" si="0"/>
        <v>1835597968.307714</v>
      </c>
      <c r="E37" s="102">
        <v>2016</v>
      </c>
      <c r="F37" s="102">
        <f t="shared" si="26"/>
        <v>0.864</v>
      </c>
      <c r="G37" s="102">
        <f t="shared" si="15"/>
        <v>9.88</v>
      </c>
      <c r="H37" s="102">
        <f t="shared" si="16"/>
        <v>1.766</v>
      </c>
      <c r="I37" s="102">
        <f t="shared" si="17"/>
        <v>0.746</v>
      </c>
      <c r="J37" s="102">
        <f t="shared" si="18"/>
        <v>0.075</v>
      </c>
      <c r="K37" s="102">
        <f t="shared" si="19"/>
        <v>1585956644.6178648</v>
      </c>
      <c r="L37" s="102">
        <f t="shared" si="20"/>
        <v>18135707926.880215</v>
      </c>
      <c r="M37" s="102">
        <f t="shared" si="21"/>
        <v>3241666012.031423</v>
      </c>
      <c r="N37" s="102">
        <f t="shared" si="22"/>
        <v>1369356084.3575547</v>
      </c>
      <c r="O37" s="102">
        <f t="shared" si="23"/>
        <v>137669847.62307855</v>
      </c>
      <c r="P37" s="102">
        <v>1</v>
      </c>
      <c r="R37" s="20">
        <f t="shared" si="28"/>
        <v>8975173414.219286</v>
      </c>
    </row>
    <row r="38" spans="1:18" ht="12.75">
      <c r="A38" s="102" t="s">
        <v>20</v>
      </c>
      <c r="B38" s="56">
        <f t="shared" si="24"/>
        <v>20923318.000576846</v>
      </c>
      <c r="C38" s="103">
        <f t="shared" si="25"/>
        <v>0.20443002963918394</v>
      </c>
      <c r="D38" s="143">
        <f t="shared" si="0"/>
        <v>1834611487.5889559</v>
      </c>
      <c r="E38" s="102">
        <v>2017</v>
      </c>
      <c r="F38" s="102">
        <f t="shared" si="26"/>
        <v>0.864</v>
      </c>
      <c r="G38" s="102">
        <f t="shared" si="15"/>
        <v>9.88</v>
      </c>
      <c r="H38" s="102">
        <f t="shared" si="16"/>
        <v>1.766</v>
      </c>
      <c r="I38" s="102">
        <f t="shared" si="17"/>
        <v>0.746</v>
      </c>
      <c r="J38" s="102">
        <f t="shared" si="18"/>
        <v>0.075</v>
      </c>
      <c r="K38" s="102">
        <f t="shared" si="19"/>
        <v>1585104325.2768579</v>
      </c>
      <c r="L38" s="102">
        <f t="shared" si="20"/>
        <v>18125961497.378887</v>
      </c>
      <c r="M38" s="102">
        <f t="shared" si="21"/>
        <v>3239923887.082096</v>
      </c>
      <c r="N38" s="102">
        <f t="shared" si="22"/>
        <v>1368620169.7413611</v>
      </c>
      <c r="O38" s="102">
        <f t="shared" si="23"/>
        <v>137595861.5691717</v>
      </c>
      <c r="P38" s="102">
        <v>1</v>
      </c>
      <c r="R38" s="20">
        <f t="shared" si="28"/>
        <v>8974275896.877865</v>
      </c>
    </row>
    <row r="39" spans="1:18" ht="12.75">
      <c r="A39" s="102" t="s">
        <v>20</v>
      </c>
      <c r="B39" s="56">
        <f t="shared" si="24"/>
        <v>21237167.770585496</v>
      </c>
      <c r="C39" s="103">
        <f t="shared" si="25"/>
        <v>0.20432239590366177</v>
      </c>
      <c r="D39" s="143">
        <f t="shared" si="0"/>
        <v>1833462188.1952934</v>
      </c>
      <c r="E39" s="102">
        <v>2018</v>
      </c>
      <c r="F39" s="102">
        <f t="shared" si="26"/>
        <v>0.864</v>
      </c>
      <c r="G39" s="102">
        <f t="shared" si="15"/>
        <v>9.88</v>
      </c>
      <c r="H39" s="102">
        <f t="shared" si="16"/>
        <v>1.766</v>
      </c>
      <c r="I39" s="102">
        <f t="shared" si="17"/>
        <v>0.746</v>
      </c>
      <c r="J39" s="102">
        <f t="shared" si="18"/>
        <v>0.075</v>
      </c>
      <c r="K39" s="102">
        <f t="shared" si="19"/>
        <v>1584111330.6007335</v>
      </c>
      <c r="L39" s="102">
        <f t="shared" si="20"/>
        <v>18114606419.3695</v>
      </c>
      <c r="M39" s="102">
        <f t="shared" si="21"/>
        <v>3237894224.352888</v>
      </c>
      <c r="N39" s="102">
        <f t="shared" si="22"/>
        <v>1367762792.393689</v>
      </c>
      <c r="O39" s="102">
        <f t="shared" si="23"/>
        <v>137509664.114647</v>
      </c>
      <c r="P39" s="102">
        <v>1</v>
      </c>
      <c r="R39" s="20">
        <f t="shared" si="28"/>
        <v>8973378469.288177</v>
      </c>
    </row>
    <row r="40" spans="1:18" ht="12.75">
      <c r="A40" s="102" t="s">
        <v>20</v>
      </c>
      <c r="B40" s="56">
        <f t="shared" si="24"/>
        <v>21555725.287144277</v>
      </c>
      <c r="C40" s="103">
        <f t="shared" si="25"/>
        <v>0.20419596318571312</v>
      </c>
      <c r="D40" s="143">
        <f t="shared" si="0"/>
        <v>1832144426.800283</v>
      </c>
      <c r="E40" s="102">
        <v>2019</v>
      </c>
      <c r="F40" s="102">
        <f t="shared" si="26"/>
        <v>0.864</v>
      </c>
      <c r="G40" s="102">
        <f t="shared" si="15"/>
        <v>9.88</v>
      </c>
      <c r="H40" s="102">
        <f t="shared" si="16"/>
        <v>1.766</v>
      </c>
      <c r="I40" s="102">
        <f t="shared" si="17"/>
        <v>0.746</v>
      </c>
      <c r="J40" s="102">
        <f t="shared" si="18"/>
        <v>0.075</v>
      </c>
      <c r="K40" s="102">
        <f t="shared" si="19"/>
        <v>1582972784.7554445</v>
      </c>
      <c r="L40" s="102">
        <f t="shared" si="20"/>
        <v>18101586936.786797</v>
      </c>
      <c r="M40" s="102">
        <f t="shared" si="21"/>
        <v>3235567057.7292995</v>
      </c>
      <c r="N40" s="102">
        <f t="shared" si="22"/>
        <v>1366779742.393011</v>
      </c>
      <c r="O40" s="102">
        <f t="shared" si="23"/>
        <v>137410832.0100212</v>
      </c>
      <c r="P40" s="102">
        <v>1</v>
      </c>
      <c r="R40" s="20">
        <f t="shared" si="28"/>
        <v>8972481131.44125</v>
      </c>
    </row>
    <row r="41" spans="1:18" ht="12.75">
      <c r="A41" s="102" t="s">
        <v>20</v>
      </c>
      <c r="B41" s="56">
        <f t="shared" si="24"/>
        <v>21879061.16645144</v>
      </c>
      <c r="C41" s="103">
        <f t="shared" si="25"/>
        <v>0.20405005988212965</v>
      </c>
      <c r="D41" s="143">
        <f t="shared" si="0"/>
        <v>1830652228.6306493</v>
      </c>
      <c r="E41" s="102">
        <v>2020</v>
      </c>
      <c r="F41" s="102">
        <f t="shared" si="26"/>
        <v>0.864</v>
      </c>
      <c r="G41" s="102">
        <f t="shared" si="15"/>
        <v>9.88</v>
      </c>
      <c r="H41" s="102">
        <f t="shared" si="16"/>
        <v>1.766</v>
      </c>
      <c r="I41" s="102">
        <f t="shared" si="17"/>
        <v>0.746</v>
      </c>
      <c r="J41" s="102">
        <f t="shared" si="18"/>
        <v>0.075</v>
      </c>
      <c r="K41" s="102">
        <f t="shared" si="19"/>
        <v>1581683525.536881</v>
      </c>
      <c r="L41" s="102">
        <f t="shared" si="20"/>
        <v>18086844018.870815</v>
      </c>
      <c r="M41" s="102">
        <f t="shared" si="21"/>
        <v>3232931835.761727</v>
      </c>
      <c r="N41" s="102">
        <f t="shared" si="22"/>
        <v>1365666562.5584643</v>
      </c>
      <c r="O41" s="102">
        <f t="shared" si="23"/>
        <v>137298917.1472987</v>
      </c>
      <c r="P41" s="102">
        <v>1</v>
      </c>
      <c r="R41" s="20">
        <f t="shared" si="28"/>
        <v>8971583883.328106</v>
      </c>
    </row>
    <row r="42" spans="1:18" ht="12.75">
      <c r="A42" s="104" t="s">
        <v>21</v>
      </c>
      <c r="B42" s="62">
        <f>$B$1</f>
        <v>17500000</v>
      </c>
      <c r="C42" s="105">
        <v>0.49</v>
      </c>
      <c r="D42" s="144">
        <f t="shared" si="0"/>
        <v>4021920000</v>
      </c>
      <c r="E42" s="104">
        <v>2005</v>
      </c>
      <c r="F42" s="106">
        <v>3.001</v>
      </c>
      <c r="G42" s="106">
        <v>34.71</v>
      </c>
      <c r="H42" s="106">
        <v>5.051</v>
      </c>
      <c r="I42" s="106">
        <v>1.498</v>
      </c>
      <c r="J42" s="104">
        <v>0.027</v>
      </c>
      <c r="K42" s="104">
        <f t="shared" si="19"/>
        <v>12069781920</v>
      </c>
      <c r="L42" s="104">
        <f t="shared" si="20"/>
        <v>139600843200</v>
      </c>
      <c r="M42" s="104">
        <f t="shared" si="21"/>
        <v>20314717920</v>
      </c>
      <c r="N42" s="104">
        <f t="shared" si="22"/>
        <v>6024836160</v>
      </c>
      <c r="O42" s="104">
        <f t="shared" si="23"/>
        <v>108591840</v>
      </c>
      <c r="P42" s="107"/>
      <c r="R42" s="20">
        <f>$B$3</f>
        <v>8208000000</v>
      </c>
    </row>
    <row r="43" spans="1:18" ht="12.75">
      <c r="A43" s="104" t="s">
        <v>21</v>
      </c>
      <c r="B43" s="62">
        <f>B42*(1+$B$2)</f>
        <v>17762500</v>
      </c>
      <c r="C43" s="105">
        <f>C42-1/3*((C59-C58)+(C75-C74))</f>
        <v>0.49066666666666664</v>
      </c>
      <c r="D43" s="144">
        <f t="shared" si="0"/>
        <v>4067665920</v>
      </c>
      <c r="E43" s="104">
        <v>2006</v>
      </c>
      <c r="F43" s="104">
        <f aca="true" t="shared" si="29" ref="F43:F57">F42*$P43</f>
        <v>3.001</v>
      </c>
      <c r="G43" s="104">
        <f aca="true" t="shared" si="30" ref="G43:G57">G42*$P43</f>
        <v>34.71</v>
      </c>
      <c r="H43" s="104">
        <f aca="true" t="shared" si="31" ref="H43:H57">H42*$P43</f>
        <v>5.051</v>
      </c>
      <c r="I43" s="104">
        <f aca="true" t="shared" si="32" ref="I43:I57">I42*$P43</f>
        <v>1.498</v>
      </c>
      <c r="J43" s="104">
        <f aca="true" t="shared" si="33" ref="J43:J57">J42*$P43</f>
        <v>0.027</v>
      </c>
      <c r="K43" s="104">
        <f t="shared" si="19"/>
        <v>12207065425.92</v>
      </c>
      <c r="L43" s="104">
        <f t="shared" si="20"/>
        <v>141188684083.2</v>
      </c>
      <c r="M43" s="104">
        <f t="shared" si="21"/>
        <v>20545780561.920002</v>
      </c>
      <c r="N43" s="104">
        <f t="shared" si="22"/>
        <v>6093363548.16</v>
      </c>
      <c r="O43" s="104">
        <f t="shared" si="23"/>
        <v>109826979.84</v>
      </c>
      <c r="P43" s="107">
        <v>1</v>
      </c>
      <c r="R43" s="20">
        <f>R42*(1+$B$4)</f>
        <v>8290080000</v>
      </c>
    </row>
    <row r="44" spans="1:18" ht="12.75">
      <c r="A44" s="104" t="s">
        <v>21</v>
      </c>
      <c r="B44" s="62">
        <f aca="true" t="shared" si="34" ref="B44:B57">B43*(1+$B$2)</f>
        <v>18028937.5</v>
      </c>
      <c r="C44" s="105">
        <f aca="true" t="shared" si="35" ref="C44:C57">C43-1/3*((C60-C59)+(C76-C75))</f>
        <v>0.4912833333333333</v>
      </c>
      <c r="D44" s="144">
        <f t="shared" si="0"/>
        <v>4113505917.3599997</v>
      </c>
      <c r="E44" s="104">
        <v>2007</v>
      </c>
      <c r="F44" s="104">
        <f t="shared" si="29"/>
        <v>3.001</v>
      </c>
      <c r="G44" s="104">
        <f t="shared" si="30"/>
        <v>34.71</v>
      </c>
      <c r="H44" s="104">
        <f t="shared" si="31"/>
        <v>5.051</v>
      </c>
      <c r="I44" s="104">
        <f t="shared" si="32"/>
        <v>1.498</v>
      </c>
      <c r="J44" s="104">
        <f t="shared" si="33"/>
        <v>0.027</v>
      </c>
      <c r="K44" s="104">
        <f t="shared" si="19"/>
        <v>12344631257.997358</v>
      </c>
      <c r="L44" s="104">
        <f t="shared" si="20"/>
        <v>142779790391.56558</v>
      </c>
      <c r="M44" s="104">
        <f t="shared" si="21"/>
        <v>20777318388.585358</v>
      </c>
      <c r="N44" s="104">
        <f t="shared" si="22"/>
        <v>6162031864.205279</v>
      </c>
      <c r="O44" s="104">
        <f t="shared" si="23"/>
        <v>111064659.76871999</v>
      </c>
      <c r="P44" s="107">
        <v>1</v>
      </c>
      <c r="R44" s="20">
        <f aca="true" t="shared" si="36" ref="R44:R51">R43*(1+$B$4)</f>
        <v>8372980800</v>
      </c>
    </row>
    <row r="45" spans="1:18" ht="12.75">
      <c r="A45" s="104" t="s">
        <v>21</v>
      </c>
      <c r="B45" s="62">
        <f t="shared" si="34"/>
        <v>18299371.5625</v>
      </c>
      <c r="C45" s="105">
        <f t="shared" si="35"/>
        <v>0.49185166666666663</v>
      </c>
      <c r="D45" s="144">
        <f t="shared" si="0"/>
        <v>4159447207.0624795</v>
      </c>
      <c r="E45" s="104">
        <v>2008</v>
      </c>
      <c r="F45" s="104">
        <f t="shared" si="29"/>
        <v>3.001</v>
      </c>
      <c r="G45" s="104">
        <f t="shared" si="30"/>
        <v>34.71</v>
      </c>
      <c r="H45" s="104">
        <f t="shared" si="31"/>
        <v>5.051</v>
      </c>
      <c r="I45" s="104">
        <f t="shared" si="32"/>
        <v>1.498</v>
      </c>
      <c r="J45" s="104">
        <f t="shared" si="33"/>
        <v>0.027</v>
      </c>
      <c r="K45" s="104">
        <f t="shared" si="19"/>
        <v>12482501068.3945</v>
      </c>
      <c r="L45" s="104">
        <f t="shared" si="20"/>
        <v>144374412557.13867</v>
      </c>
      <c r="M45" s="104">
        <f t="shared" si="21"/>
        <v>21009367842.872585</v>
      </c>
      <c r="N45" s="104">
        <f t="shared" si="22"/>
        <v>6230851916.179594</v>
      </c>
      <c r="O45" s="104">
        <f t="shared" si="23"/>
        <v>112305074.59068695</v>
      </c>
      <c r="P45" s="107">
        <v>1</v>
      </c>
      <c r="R45" s="20">
        <f t="shared" si="36"/>
        <v>8456710608</v>
      </c>
    </row>
    <row r="46" spans="1:18" ht="12.75">
      <c r="A46" s="104" t="s">
        <v>21</v>
      </c>
      <c r="B46" s="62">
        <f t="shared" si="34"/>
        <v>18573862.135937497</v>
      </c>
      <c r="C46" s="105">
        <f t="shared" si="35"/>
        <v>0.4923732083333333</v>
      </c>
      <c r="D46" s="144">
        <f t="shared" si="0"/>
        <v>4205496311.3475685</v>
      </c>
      <c r="E46" s="104">
        <v>2009</v>
      </c>
      <c r="F46" s="104">
        <f t="shared" si="29"/>
        <v>3.001</v>
      </c>
      <c r="G46" s="104">
        <f t="shared" si="30"/>
        <v>34.71</v>
      </c>
      <c r="H46" s="104">
        <f t="shared" si="31"/>
        <v>5.051</v>
      </c>
      <c r="I46" s="104">
        <f t="shared" si="32"/>
        <v>1.498</v>
      </c>
      <c r="J46" s="104">
        <f t="shared" si="33"/>
        <v>0.027</v>
      </c>
      <c r="K46" s="104">
        <f t="shared" si="19"/>
        <v>12620694430.354053</v>
      </c>
      <c r="L46" s="104">
        <f t="shared" si="20"/>
        <v>145972776966.8741</v>
      </c>
      <c r="M46" s="104">
        <f t="shared" si="21"/>
        <v>21241961868.61657</v>
      </c>
      <c r="N46" s="104">
        <f t="shared" si="22"/>
        <v>6299833474.398658</v>
      </c>
      <c r="O46" s="104">
        <f t="shared" si="23"/>
        <v>113548400.40638435</v>
      </c>
      <c r="P46" s="107">
        <v>1</v>
      </c>
      <c r="R46" s="20">
        <f t="shared" si="36"/>
        <v>8541277714.08</v>
      </c>
    </row>
    <row r="47" spans="1:18" ht="12.75">
      <c r="A47" s="104" t="s">
        <v>21</v>
      </c>
      <c r="B47" s="62">
        <f t="shared" si="34"/>
        <v>18852470.067976557</v>
      </c>
      <c r="C47" s="105">
        <f t="shared" si="35"/>
        <v>0.49284937916666666</v>
      </c>
      <c r="D47" s="144">
        <f t="shared" si="0"/>
        <v>4251659052.861158</v>
      </c>
      <c r="E47" s="104">
        <v>2010</v>
      </c>
      <c r="F47" s="104">
        <f t="shared" si="29"/>
        <v>3.001</v>
      </c>
      <c r="G47" s="104">
        <f t="shared" si="30"/>
        <v>34.71</v>
      </c>
      <c r="H47" s="104">
        <f t="shared" si="31"/>
        <v>5.051</v>
      </c>
      <c r="I47" s="104">
        <f t="shared" si="32"/>
        <v>1.498</v>
      </c>
      <c r="J47" s="104">
        <f t="shared" si="33"/>
        <v>0.027</v>
      </c>
      <c r="K47" s="104">
        <f t="shared" si="19"/>
        <v>12759228817.636333</v>
      </c>
      <c r="L47" s="104">
        <f t="shared" si="20"/>
        <v>147575085724.8108</v>
      </c>
      <c r="M47" s="104">
        <f t="shared" si="21"/>
        <v>21475129876.00171</v>
      </c>
      <c r="N47" s="104">
        <f t="shared" si="22"/>
        <v>6368985261.186014</v>
      </c>
      <c r="O47" s="104">
        <f t="shared" si="23"/>
        <v>114794794.42725126</v>
      </c>
      <c r="P47" s="107">
        <v>1</v>
      </c>
      <c r="R47" s="20">
        <f t="shared" si="36"/>
        <v>8626690491.2208</v>
      </c>
    </row>
    <row r="48" spans="1:18" ht="12.75">
      <c r="A48" s="104" t="s">
        <v>21</v>
      </c>
      <c r="B48" s="62">
        <f t="shared" si="34"/>
        <v>19135257.118996203</v>
      </c>
      <c r="C48" s="105">
        <f t="shared" si="35"/>
        <v>0.4932814830208333</v>
      </c>
      <c r="D48" s="144">
        <f t="shared" si="0"/>
        <v>4297940545.861829</v>
      </c>
      <c r="E48" s="104">
        <v>2011</v>
      </c>
      <c r="F48" s="104">
        <f t="shared" si="29"/>
        <v>3.001</v>
      </c>
      <c r="G48" s="104">
        <f t="shared" si="30"/>
        <v>34.71</v>
      </c>
      <c r="H48" s="104">
        <f t="shared" si="31"/>
        <v>5.051</v>
      </c>
      <c r="I48" s="104">
        <f t="shared" si="32"/>
        <v>1.498</v>
      </c>
      <c r="J48" s="104">
        <f t="shared" si="33"/>
        <v>0.027</v>
      </c>
      <c r="K48" s="104">
        <f t="shared" si="19"/>
        <v>12898119578.131348</v>
      </c>
      <c r="L48" s="104">
        <f t="shared" si="20"/>
        <v>149181516346.86407</v>
      </c>
      <c r="M48" s="104">
        <f t="shared" si="21"/>
        <v>21708897697.148098</v>
      </c>
      <c r="N48" s="104">
        <f t="shared" si="22"/>
        <v>6438314937.701019</v>
      </c>
      <c r="O48" s="104">
        <f t="shared" si="23"/>
        <v>116044394.73826937</v>
      </c>
      <c r="P48" s="107">
        <v>1</v>
      </c>
      <c r="R48" s="20">
        <f t="shared" si="36"/>
        <v>8712957396.133009</v>
      </c>
    </row>
    <row r="49" spans="1:18" ht="12.75">
      <c r="A49" s="104" t="s">
        <v>21</v>
      </c>
      <c r="B49" s="62">
        <f t="shared" si="34"/>
        <v>19422285.975781143</v>
      </c>
      <c r="C49" s="105">
        <f t="shared" si="35"/>
        <v>0.49367071032291665</v>
      </c>
      <c r="D49" s="144">
        <f t="shared" si="0"/>
        <v>4344345185.429915</v>
      </c>
      <c r="E49" s="104">
        <v>2012</v>
      </c>
      <c r="F49" s="104">
        <f t="shared" si="29"/>
        <v>3.001</v>
      </c>
      <c r="G49" s="104">
        <f t="shared" si="30"/>
        <v>34.71</v>
      </c>
      <c r="H49" s="104">
        <f t="shared" si="31"/>
        <v>5.051</v>
      </c>
      <c r="I49" s="104">
        <f t="shared" si="32"/>
        <v>1.498</v>
      </c>
      <c r="J49" s="104">
        <f t="shared" si="33"/>
        <v>0.027</v>
      </c>
      <c r="K49" s="104">
        <f t="shared" si="19"/>
        <v>13037379901.475176</v>
      </c>
      <c r="L49" s="104">
        <f t="shared" si="20"/>
        <v>150792221386.27237</v>
      </c>
      <c r="M49" s="104">
        <f t="shared" si="21"/>
        <v>21943287531.606503</v>
      </c>
      <c r="N49" s="104">
        <f t="shared" si="22"/>
        <v>6507829087.7740135</v>
      </c>
      <c r="O49" s="104">
        <f t="shared" si="23"/>
        <v>117297320.00660771</v>
      </c>
      <c r="P49" s="107">
        <v>1</v>
      </c>
      <c r="R49" s="20">
        <f t="shared" si="36"/>
        <v>8800086970.09434</v>
      </c>
    </row>
    <row r="50" spans="1:18" ht="12.75">
      <c r="A50" s="104" t="s">
        <v>21</v>
      </c>
      <c r="B50" s="62">
        <f t="shared" si="34"/>
        <v>19713620.26541786</v>
      </c>
      <c r="C50" s="105">
        <f t="shared" si="35"/>
        <v>0.49401814133255206</v>
      </c>
      <c r="D50" s="144">
        <f t="shared" si="0"/>
        <v>4390876634.616123</v>
      </c>
      <c r="E50" s="104">
        <v>2013</v>
      </c>
      <c r="F50" s="104">
        <f t="shared" si="29"/>
        <v>3.001</v>
      </c>
      <c r="G50" s="104">
        <f t="shared" si="30"/>
        <v>34.71</v>
      </c>
      <c r="H50" s="104">
        <f t="shared" si="31"/>
        <v>5.051</v>
      </c>
      <c r="I50" s="104">
        <f t="shared" si="32"/>
        <v>1.498</v>
      </c>
      <c r="J50" s="104">
        <f t="shared" si="33"/>
        <v>0.027</v>
      </c>
      <c r="K50" s="104">
        <f t="shared" si="19"/>
        <v>13177020780.482985</v>
      </c>
      <c r="L50" s="104">
        <f t="shared" si="20"/>
        <v>152407327987.52563</v>
      </c>
      <c r="M50" s="104">
        <f t="shared" si="21"/>
        <v>22178317881.446037</v>
      </c>
      <c r="N50" s="104">
        <f t="shared" si="22"/>
        <v>6577533198.654953</v>
      </c>
      <c r="O50" s="104">
        <f t="shared" si="23"/>
        <v>118553669.13463533</v>
      </c>
      <c r="P50" s="107">
        <v>1</v>
      </c>
      <c r="R50" s="20">
        <f t="shared" si="36"/>
        <v>8888087839.795282</v>
      </c>
    </row>
    <row r="51" spans="1:18" ht="12.75">
      <c r="A51" s="104" t="s">
        <v>21</v>
      </c>
      <c r="B51" s="62">
        <f t="shared" si="34"/>
        <v>20009324.569399126</v>
      </c>
      <c r="C51" s="105">
        <f t="shared" si="35"/>
        <v>0.4943247491179948</v>
      </c>
      <c r="D51" s="144">
        <f t="shared" si="0"/>
        <v>4437537809.4609585</v>
      </c>
      <c r="E51" s="104">
        <v>2014</v>
      </c>
      <c r="F51" s="104">
        <f t="shared" si="29"/>
        <v>3.001</v>
      </c>
      <c r="G51" s="104">
        <f t="shared" si="30"/>
        <v>34.71</v>
      </c>
      <c r="H51" s="104">
        <f t="shared" si="31"/>
        <v>5.051</v>
      </c>
      <c r="I51" s="104">
        <f t="shared" si="32"/>
        <v>1.498</v>
      </c>
      <c r="J51" s="104">
        <f t="shared" si="33"/>
        <v>0.027</v>
      </c>
      <c r="K51" s="104">
        <f t="shared" si="19"/>
        <v>13317050966.192335</v>
      </c>
      <c r="L51" s="104">
        <f t="shared" si="20"/>
        <v>154026937366.38986</v>
      </c>
      <c r="M51" s="104">
        <f t="shared" si="21"/>
        <v>22414003475.587303</v>
      </c>
      <c r="N51" s="104">
        <f t="shared" si="22"/>
        <v>6647431638.5725155</v>
      </c>
      <c r="O51" s="104">
        <f t="shared" si="23"/>
        <v>119813520.85544588</v>
      </c>
      <c r="P51" s="107">
        <v>1</v>
      </c>
      <c r="R51" s="20">
        <f t="shared" si="36"/>
        <v>8976968718.193235</v>
      </c>
    </row>
    <row r="52" spans="1:18" ht="12.75">
      <c r="A52" s="104" t="s">
        <v>21</v>
      </c>
      <c r="B52" s="62">
        <f t="shared" si="34"/>
        <v>20309464.43794011</v>
      </c>
      <c r="C52" s="105">
        <f t="shared" si="35"/>
        <v>0.4945914022567689</v>
      </c>
      <c r="D52" s="144">
        <f t="shared" si="0"/>
        <v>4439487553.191708</v>
      </c>
      <c r="E52" s="104">
        <v>2015</v>
      </c>
      <c r="F52" s="104">
        <f t="shared" si="29"/>
        <v>3.001</v>
      </c>
      <c r="G52" s="104">
        <f t="shared" si="30"/>
        <v>34.71</v>
      </c>
      <c r="H52" s="104">
        <f t="shared" si="31"/>
        <v>5.051</v>
      </c>
      <c r="I52" s="104">
        <f t="shared" si="32"/>
        <v>1.498</v>
      </c>
      <c r="J52" s="104">
        <f t="shared" si="33"/>
        <v>0.027</v>
      </c>
      <c r="K52" s="104">
        <f t="shared" si="19"/>
        <v>13322902147.128315</v>
      </c>
      <c r="L52" s="104">
        <f t="shared" si="20"/>
        <v>154094612971.28418</v>
      </c>
      <c r="M52" s="104">
        <f t="shared" si="21"/>
        <v>22423851631.171314</v>
      </c>
      <c r="N52" s="104">
        <f t="shared" si="22"/>
        <v>6650352354.681178</v>
      </c>
      <c r="O52" s="104">
        <f t="shared" si="23"/>
        <v>119866163.9361761</v>
      </c>
      <c r="P52" s="107">
        <v>1</v>
      </c>
      <c r="R52" s="20">
        <f aca="true" t="shared" si="37" ref="R52:R57">R51*(1+$B$4)*0.99</f>
        <v>8976071021.321417</v>
      </c>
    </row>
    <row r="53" spans="1:18" ht="12.75">
      <c r="A53" s="104" t="s">
        <v>21</v>
      </c>
      <c r="B53" s="62">
        <f t="shared" si="34"/>
        <v>20614106.40450921</v>
      </c>
      <c r="C53" s="105">
        <f t="shared" si="35"/>
        <v>0.49451949879871876</v>
      </c>
      <c r="D53" s="144">
        <f t="shared" si="0"/>
        <v>4438398258.431307</v>
      </c>
      <c r="E53" s="104">
        <v>2016</v>
      </c>
      <c r="F53" s="104">
        <f t="shared" si="29"/>
        <v>3.001</v>
      </c>
      <c r="G53" s="104">
        <f t="shared" si="30"/>
        <v>34.71</v>
      </c>
      <c r="H53" s="104">
        <f t="shared" si="31"/>
        <v>5.051</v>
      </c>
      <c r="I53" s="104">
        <f t="shared" si="32"/>
        <v>1.498</v>
      </c>
      <c r="J53" s="104">
        <f t="shared" si="33"/>
        <v>0.027</v>
      </c>
      <c r="K53" s="104">
        <f t="shared" si="19"/>
        <v>13319633173.552351</v>
      </c>
      <c r="L53" s="104">
        <f t="shared" si="20"/>
        <v>154056803550.15067</v>
      </c>
      <c r="M53" s="104">
        <f t="shared" si="21"/>
        <v>22418349603.336533</v>
      </c>
      <c r="N53" s="104">
        <f t="shared" si="22"/>
        <v>6648720591.130097</v>
      </c>
      <c r="O53" s="104">
        <f t="shared" si="23"/>
        <v>119836752.97764528</v>
      </c>
      <c r="P53" s="107">
        <v>1</v>
      </c>
      <c r="R53" s="20">
        <f t="shared" si="37"/>
        <v>8975173414.219286</v>
      </c>
    </row>
    <row r="54" spans="1:18" ht="12.75">
      <c r="A54" s="104" t="s">
        <v>21</v>
      </c>
      <c r="B54" s="62">
        <f t="shared" si="34"/>
        <v>20923318.000576846</v>
      </c>
      <c r="C54" s="105">
        <f t="shared" si="35"/>
        <v>0.4944300296391839</v>
      </c>
      <c r="D54" s="144">
        <f t="shared" si="0"/>
        <v>4437151497.683537</v>
      </c>
      <c r="E54" s="104">
        <v>2017</v>
      </c>
      <c r="F54" s="104">
        <f t="shared" si="29"/>
        <v>3.001</v>
      </c>
      <c r="G54" s="104">
        <f t="shared" si="30"/>
        <v>34.71</v>
      </c>
      <c r="H54" s="104">
        <f t="shared" si="31"/>
        <v>5.051</v>
      </c>
      <c r="I54" s="104">
        <f t="shared" si="32"/>
        <v>1.498</v>
      </c>
      <c r="J54" s="104">
        <f t="shared" si="33"/>
        <v>0.027</v>
      </c>
      <c r="K54" s="104">
        <f t="shared" si="19"/>
        <v>13315891644.548292</v>
      </c>
      <c r="L54" s="104">
        <f t="shared" si="20"/>
        <v>154013528484.59555</v>
      </c>
      <c r="M54" s="104">
        <f t="shared" si="21"/>
        <v>22412052214.799545</v>
      </c>
      <c r="N54" s="104">
        <f t="shared" si="22"/>
        <v>6646852943.529938</v>
      </c>
      <c r="O54" s="104">
        <f t="shared" si="23"/>
        <v>119803090.43745549</v>
      </c>
      <c r="P54" s="107">
        <v>1</v>
      </c>
      <c r="R54" s="20">
        <f t="shared" si="37"/>
        <v>8974275896.877865</v>
      </c>
    </row>
    <row r="55" spans="1:18" ht="12.75">
      <c r="A55" s="104" t="s">
        <v>21</v>
      </c>
      <c r="B55" s="62">
        <f t="shared" si="34"/>
        <v>21237167.770585496</v>
      </c>
      <c r="C55" s="105">
        <f t="shared" si="35"/>
        <v>0.4943223959036617</v>
      </c>
      <c r="D55" s="144">
        <f t="shared" si="0"/>
        <v>4435741944.288864</v>
      </c>
      <c r="E55" s="104">
        <v>2018</v>
      </c>
      <c r="F55" s="104">
        <f t="shared" si="29"/>
        <v>3.001</v>
      </c>
      <c r="G55" s="104">
        <f t="shared" si="30"/>
        <v>34.71</v>
      </c>
      <c r="H55" s="104">
        <f t="shared" si="31"/>
        <v>5.051</v>
      </c>
      <c r="I55" s="104">
        <f t="shared" si="32"/>
        <v>1.498</v>
      </c>
      <c r="J55" s="104">
        <f t="shared" si="33"/>
        <v>0.027</v>
      </c>
      <c r="K55" s="104">
        <f t="shared" si="19"/>
        <v>13311661574.81088</v>
      </c>
      <c r="L55" s="104">
        <f t="shared" si="20"/>
        <v>153964602886.26648</v>
      </c>
      <c r="M55" s="104">
        <f t="shared" si="21"/>
        <v>22404932560.603054</v>
      </c>
      <c r="N55" s="104">
        <f t="shared" si="22"/>
        <v>6644741432.544719</v>
      </c>
      <c r="O55" s="104">
        <f t="shared" si="23"/>
        <v>119765032.49579933</v>
      </c>
      <c r="P55" s="107">
        <v>1</v>
      </c>
      <c r="R55" s="20">
        <f t="shared" si="37"/>
        <v>8973378469.288177</v>
      </c>
    </row>
    <row r="56" spans="1:18" ht="12.75">
      <c r="A56" s="104" t="s">
        <v>21</v>
      </c>
      <c r="B56" s="62">
        <f t="shared" si="34"/>
        <v>21555725.287144277</v>
      </c>
      <c r="C56" s="105">
        <f t="shared" si="35"/>
        <v>0.49419596318571307</v>
      </c>
      <c r="D56" s="144">
        <f t="shared" si="0"/>
        <v>4434163954.918245</v>
      </c>
      <c r="E56" s="104">
        <v>2019</v>
      </c>
      <c r="F56" s="104">
        <f t="shared" si="29"/>
        <v>3.001</v>
      </c>
      <c r="G56" s="104">
        <f t="shared" si="30"/>
        <v>34.71</v>
      </c>
      <c r="H56" s="104">
        <f t="shared" si="31"/>
        <v>5.051</v>
      </c>
      <c r="I56" s="104">
        <f t="shared" si="32"/>
        <v>1.498</v>
      </c>
      <c r="J56" s="104">
        <f t="shared" si="33"/>
        <v>0.027</v>
      </c>
      <c r="K56" s="104">
        <f t="shared" si="19"/>
        <v>13306926028.709654</v>
      </c>
      <c r="L56" s="104">
        <f t="shared" si="20"/>
        <v>153909830875.2123</v>
      </c>
      <c r="M56" s="104">
        <f t="shared" si="21"/>
        <v>22396962136.292057</v>
      </c>
      <c r="N56" s="104">
        <f t="shared" si="22"/>
        <v>6642377604.467531</v>
      </c>
      <c r="O56" s="104">
        <f t="shared" si="23"/>
        <v>119722426.78279263</v>
      </c>
      <c r="P56" s="107">
        <v>1</v>
      </c>
      <c r="R56" s="20">
        <f t="shared" si="37"/>
        <v>8972481131.44125</v>
      </c>
    </row>
    <row r="57" spans="1:18" ht="12.75">
      <c r="A57" s="104" t="s">
        <v>21</v>
      </c>
      <c r="B57" s="62">
        <f t="shared" si="34"/>
        <v>21879061.16645144</v>
      </c>
      <c r="C57" s="105">
        <f t="shared" si="35"/>
        <v>0.49405005988212963</v>
      </c>
      <c r="D57" s="144">
        <f t="shared" si="0"/>
        <v>4432411554.7958</v>
      </c>
      <c r="E57" s="104">
        <v>2020</v>
      </c>
      <c r="F57" s="104">
        <f t="shared" si="29"/>
        <v>3.001</v>
      </c>
      <c r="G57" s="104">
        <f t="shared" si="30"/>
        <v>34.71</v>
      </c>
      <c r="H57" s="104">
        <f t="shared" si="31"/>
        <v>5.051</v>
      </c>
      <c r="I57" s="104">
        <f t="shared" si="32"/>
        <v>1.498</v>
      </c>
      <c r="J57" s="104">
        <f t="shared" si="33"/>
        <v>0.027</v>
      </c>
      <c r="K57" s="104">
        <f t="shared" si="19"/>
        <v>13301667075.942196</v>
      </c>
      <c r="L57" s="104">
        <f t="shared" si="20"/>
        <v>153849005066.96222</v>
      </c>
      <c r="M57" s="104">
        <f t="shared" si="21"/>
        <v>22388110763.273586</v>
      </c>
      <c r="N57" s="104">
        <f t="shared" si="22"/>
        <v>6639752509.084108</v>
      </c>
      <c r="O57" s="104">
        <f t="shared" si="23"/>
        <v>119675111.9794866</v>
      </c>
      <c r="P57" s="107">
        <v>1</v>
      </c>
      <c r="R57" s="20">
        <f t="shared" si="37"/>
        <v>8971583883.328106</v>
      </c>
    </row>
    <row r="58" spans="1:18" ht="12.75">
      <c r="A58" s="108" t="s">
        <v>22</v>
      </c>
      <c r="B58" s="147">
        <f>$B$1</f>
        <v>17500000</v>
      </c>
      <c r="C58" s="109">
        <v>0.01</v>
      </c>
      <c r="D58" s="145">
        <f t="shared" si="0"/>
        <v>82080000</v>
      </c>
      <c r="E58" s="108">
        <v>2005</v>
      </c>
      <c r="F58" s="108">
        <v>0.027</v>
      </c>
      <c r="G58" s="108">
        <v>0.35</v>
      </c>
      <c r="H58" s="108">
        <v>0.045</v>
      </c>
      <c r="I58" s="108">
        <v>0</v>
      </c>
      <c r="J58" s="108">
        <v>0</v>
      </c>
      <c r="K58" s="108">
        <f t="shared" si="19"/>
        <v>2216160</v>
      </c>
      <c r="L58" s="108">
        <f t="shared" si="20"/>
        <v>28728000</v>
      </c>
      <c r="M58" s="108">
        <f t="shared" si="21"/>
        <v>3693600</v>
      </c>
      <c r="N58" s="108">
        <f t="shared" si="22"/>
        <v>0</v>
      </c>
      <c r="O58" s="108">
        <f t="shared" si="23"/>
        <v>0</v>
      </c>
      <c r="P58" s="110"/>
      <c r="R58" s="20">
        <f>$B$3</f>
        <v>8208000000</v>
      </c>
    </row>
    <row r="59" spans="1:18" ht="12.75">
      <c r="A59" s="108" t="s">
        <v>22</v>
      </c>
      <c r="B59" s="147">
        <f>B58*(1+$B$2)</f>
        <v>17762500</v>
      </c>
      <c r="C59" s="109">
        <f>C58*$F$1</f>
        <v>0.0105</v>
      </c>
      <c r="D59" s="145">
        <f t="shared" si="0"/>
        <v>87045840</v>
      </c>
      <c r="E59" s="108">
        <v>2006</v>
      </c>
      <c r="F59" s="108">
        <f>F58*$P59</f>
        <v>0.027</v>
      </c>
      <c r="G59" s="108">
        <f aca="true" t="shared" si="38" ref="G59:G73">G58*$P59</f>
        <v>0.35</v>
      </c>
      <c r="H59" s="108">
        <f aca="true" t="shared" si="39" ref="H59:H73">H58*$P59</f>
        <v>0.045</v>
      </c>
      <c r="I59" s="108">
        <f aca="true" t="shared" si="40" ref="I59:I73">I58*$P59</f>
        <v>0</v>
      </c>
      <c r="J59" s="108">
        <f aca="true" t="shared" si="41" ref="J59:J73">J58*$P59</f>
        <v>0</v>
      </c>
      <c r="K59" s="108">
        <f t="shared" si="19"/>
        <v>2350237.68</v>
      </c>
      <c r="L59" s="108">
        <f t="shared" si="20"/>
        <v>30466043.999999996</v>
      </c>
      <c r="M59" s="108">
        <f t="shared" si="21"/>
        <v>3917062.8</v>
      </c>
      <c r="N59" s="108">
        <f t="shared" si="22"/>
        <v>0</v>
      </c>
      <c r="O59" s="108">
        <f t="shared" si="23"/>
        <v>0</v>
      </c>
      <c r="P59" s="110">
        <v>1</v>
      </c>
      <c r="R59" s="20">
        <f>R58*(1+$B$4)</f>
        <v>8290080000</v>
      </c>
    </row>
    <row r="60" spans="1:18" ht="12.75">
      <c r="A60" s="108" t="s">
        <v>22</v>
      </c>
      <c r="B60" s="147">
        <f aca="true" t="shared" si="42" ref="B60:B73">B59*(1+$B$2)</f>
        <v>18028937.5</v>
      </c>
      <c r="C60" s="109">
        <f aca="true" t="shared" si="43" ref="C60:C73">C59*$F$1</f>
        <v>0.011025000000000002</v>
      </c>
      <c r="D60" s="145">
        <f t="shared" si="0"/>
        <v>92312113.32000001</v>
      </c>
      <c r="E60" s="108">
        <v>2007</v>
      </c>
      <c r="F60" s="108">
        <f aca="true" t="shared" si="44" ref="F60:F73">F59*$P60</f>
        <v>0.027</v>
      </c>
      <c r="G60" s="108">
        <f t="shared" si="38"/>
        <v>0.35</v>
      </c>
      <c r="H60" s="108">
        <f t="shared" si="39"/>
        <v>0.045</v>
      </c>
      <c r="I60" s="108">
        <f t="shared" si="40"/>
        <v>0</v>
      </c>
      <c r="J60" s="108">
        <f t="shared" si="41"/>
        <v>0</v>
      </c>
      <c r="K60" s="108">
        <f t="shared" si="19"/>
        <v>2492427.05964</v>
      </c>
      <c r="L60" s="108">
        <f t="shared" si="20"/>
        <v>32309239.662</v>
      </c>
      <c r="M60" s="108">
        <f t="shared" si="21"/>
        <v>4154045.0994</v>
      </c>
      <c r="N60" s="108">
        <f t="shared" si="22"/>
        <v>0</v>
      </c>
      <c r="O60" s="108">
        <f t="shared" si="23"/>
        <v>0</v>
      </c>
      <c r="P60" s="110">
        <v>1</v>
      </c>
      <c r="R60" s="20">
        <f aca="true" t="shared" si="45" ref="R60:R67">R59*(1+$B$4)</f>
        <v>8372980800</v>
      </c>
    </row>
    <row r="61" spans="1:18" ht="12.75">
      <c r="A61" s="108" t="s">
        <v>22</v>
      </c>
      <c r="B61" s="147">
        <f t="shared" si="42"/>
        <v>18299371.5625</v>
      </c>
      <c r="C61" s="109">
        <f t="shared" si="43"/>
        <v>0.011576250000000003</v>
      </c>
      <c r="D61" s="145">
        <f t="shared" si="0"/>
        <v>97896996.17586003</v>
      </c>
      <c r="E61" s="108">
        <v>2008</v>
      </c>
      <c r="F61" s="108">
        <f t="shared" si="44"/>
        <v>0.027</v>
      </c>
      <c r="G61" s="108">
        <f t="shared" si="38"/>
        <v>0.35</v>
      </c>
      <c r="H61" s="108">
        <f t="shared" si="39"/>
        <v>0.045</v>
      </c>
      <c r="I61" s="108">
        <f t="shared" si="40"/>
        <v>0</v>
      </c>
      <c r="J61" s="108">
        <f t="shared" si="41"/>
        <v>0</v>
      </c>
      <c r="K61" s="108">
        <f t="shared" si="19"/>
        <v>2643218.896748221</v>
      </c>
      <c r="L61" s="108">
        <f t="shared" si="20"/>
        <v>34263948.661551006</v>
      </c>
      <c r="M61" s="108">
        <f t="shared" si="21"/>
        <v>4405364.8279137015</v>
      </c>
      <c r="N61" s="108">
        <f t="shared" si="22"/>
        <v>0</v>
      </c>
      <c r="O61" s="108">
        <f t="shared" si="23"/>
        <v>0</v>
      </c>
      <c r="P61" s="110">
        <v>1</v>
      </c>
      <c r="R61" s="20">
        <f t="shared" si="45"/>
        <v>8456710608</v>
      </c>
    </row>
    <row r="62" spans="1:18" ht="12.75">
      <c r="A62" s="108" t="s">
        <v>22</v>
      </c>
      <c r="B62" s="147">
        <f t="shared" si="42"/>
        <v>18573862.135937497</v>
      </c>
      <c r="C62" s="109">
        <f t="shared" si="43"/>
        <v>0.012155062500000004</v>
      </c>
      <c r="D62" s="145">
        <f t="shared" si="0"/>
        <v>103819764.44449957</v>
      </c>
      <c r="E62" s="108">
        <v>2009</v>
      </c>
      <c r="F62" s="108">
        <f t="shared" si="44"/>
        <v>0.027</v>
      </c>
      <c r="G62" s="108">
        <f t="shared" si="38"/>
        <v>0.35</v>
      </c>
      <c r="H62" s="108">
        <f t="shared" si="39"/>
        <v>0.045</v>
      </c>
      <c r="I62" s="108">
        <f t="shared" si="40"/>
        <v>0</v>
      </c>
      <c r="J62" s="108">
        <f t="shared" si="41"/>
        <v>0</v>
      </c>
      <c r="K62" s="108">
        <f t="shared" si="19"/>
        <v>2803133.6400014884</v>
      </c>
      <c r="L62" s="108">
        <f t="shared" si="20"/>
        <v>36336917.55557485</v>
      </c>
      <c r="M62" s="108">
        <f t="shared" si="21"/>
        <v>4671889.4000024805</v>
      </c>
      <c r="N62" s="108">
        <f t="shared" si="22"/>
        <v>0</v>
      </c>
      <c r="O62" s="108">
        <f t="shared" si="23"/>
        <v>0</v>
      </c>
      <c r="P62" s="110">
        <v>1</v>
      </c>
      <c r="R62" s="20">
        <f t="shared" si="45"/>
        <v>8541277714.08</v>
      </c>
    </row>
    <row r="63" spans="1:18" ht="12.75">
      <c r="A63" s="108" t="s">
        <v>22</v>
      </c>
      <c r="B63" s="147">
        <f t="shared" si="42"/>
        <v>18852470.067976557</v>
      </c>
      <c r="C63" s="109">
        <f t="shared" si="43"/>
        <v>0.012762815625000005</v>
      </c>
      <c r="D63" s="145">
        <f t="shared" si="0"/>
        <v>110100860.1933918</v>
      </c>
      <c r="E63" s="108">
        <v>2010</v>
      </c>
      <c r="F63" s="108">
        <f t="shared" si="44"/>
        <v>0.027</v>
      </c>
      <c r="G63" s="108">
        <f t="shared" si="38"/>
        <v>0.35</v>
      </c>
      <c r="H63" s="108">
        <f t="shared" si="39"/>
        <v>0.045</v>
      </c>
      <c r="I63" s="108">
        <f t="shared" si="40"/>
        <v>0</v>
      </c>
      <c r="J63" s="108">
        <f t="shared" si="41"/>
        <v>0</v>
      </c>
      <c r="K63" s="108">
        <f t="shared" si="19"/>
        <v>2972723.2252215785</v>
      </c>
      <c r="L63" s="108">
        <f t="shared" si="20"/>
        <v>38535301.067687124</v>
      </c>
      <c r="M63" s="108">
        <f t="shared" si="21"/>
        <v>4954538.70870263</v>
      </c>
      <c r="N63" s="108">
        <f t="shared" si="22"/>
        <v>0</v>
      </c>
      <c r="O63" s="108">
        <f t="shared" si="23"/>
        <v>0</v>
      </c>
      <c r="P63" s="110">
        <v>1</v>
      </c>
      <c r="R63" s="20">
        <f t="shared" si="45"/>
        <v>8626690491.2208</v>
      </c>
    </row>
    <row r="64" spans="1:18" ht="12.75">
      <c r="A64" s="108" t="s">
        <v>22</v>
      </c>
      <c r="B64" s="147">
        <f t="shared" si="42"/>
        <v>19135257.118996203</v>
      </c>
      <c r="C64" s="109">
        <f t="shared" si="43"/>
        <v>0.013400956406250006</v>
      </c>
      <c r="D64" s="145">
        <f t="shared" si="0"/>
        <v>116761962.23509201</v>
      </c>
      <c r="E64" s="108">
        <v>2011</v>
      </c>
      <c r="F64" s="108">
        <f t="shared" si="44"/>
        <v>0.027</v>
      </c>
      <c r="G64" s="108">
        <f t="shared" si="38"/>
        <v>0.35</v>
      </c>
      <c r="H64" s="108">
        <f t="shared" si="39"/>
        <v>0.045</v>
      </c>
      <c r="I64" s="108">
        <f t="shared" si="40"/>
        <v>0</v>
      </c>
      <c r="J64" s="108">
        <f t="shared" si="41"/>
        <v>0</v>
      </c>
      <c r="K64" s="108">
        <f t="shared" si="19"/>
        <v>3152572.9803474844</v>
      </c>
      <c r="L64" s="108">
        <f t="shared" si="20"/>
        <v>40866686.7822822</v>
      </c>
      <c r="M64" s="108">
        <f t="shared" si="21"/>
        <v>5254288.300579141</v>
      </c>
      <c r="N64" s="108">
        <f t="shared" si="22"/>
        <v>0</v>
      </c>
      <c r="O64" s="108">
        <f t="shared" si="23"/>
        <v>0</v>
      </c>
      <c r="P64" s="110">
        <v>1</v>
      </c>
      <c r="R64" s="20">
        <f t="shared" si="45"/>
        <v>8712957396.133009</v>
      </c>
    </row>
    <row r="65" spans="1:18" ht="12.75">
      <c r="A65" s="108" t="s">
        <v>22</v>
      </c>
      <c r="B65" s="147">
        <f t="shared" si="42"/>
        <v>19422285.975781143</v>
      </c>
      <c r="C65" s="109">
        <f t="shared" si="43"/>
        <v>0.014071004226562506</v>
      </c>
      <c r="D65" s="145">
        <f t="shared" si="0"/>
        <v>123826060.95031509</v>
      </c>
      <c r="E65" s="108">
        <v>2012</v>
      </c>
      <c r="F65" s="108">
        <f t="shared" si="44"/>
        <v>0.027</v>
      </c>
      <c r="G65" s="108">
        <f t="shared" si="38"/>
        <v>0.35</v>
      </c>
      <c r="H65" s="108">
        <f t="shared" si="39"/>
        <v>0.045</v>
      </c>
      <c r="I65" s="108">
        <f t="shared" si="40"/>
        <v>0</v>
      </c>
      <c r="J65" s="108">
        <f t="shared" si="41"/>
        <v>0</v>
      </c>
      <c r="K65" s="108">
        <f t="shared" si="19"/>
        <v>3343303.6456585075</v>
      </c>
      <c r="L65" s="108">
        <f t="shared" si="20"/>
        <v>43339121.33261028</v>
      </c>
      <c r="M65" s="108">
        <f t="shared" si="21"/>
        <v>5572172.742764179</v>
      </c>
      <c r="N65" s="108">
        <f t="shared" si="22"/>
        <v>0</v>
      </c>
      <c r="O65" s="108">
        <f t="shared" si="23"/>
        <v>0</v>
      </c>
      <c r="P65" s="110">
        <v>1</v>
      </c>
      <c r="R65" s="20">
        <f t="shared" si="45"/>
        <v>8800086970.09434</v>
      </c>
    </row>
    <row r="66" spans="1:18" ht="12.75">
      <c r="A66" s="108" t="s">
        <v>22</v>
      </c>
      <c r="B66" s="147">
        <f t="shared" si="42"/>
        <v>19713620.26541786</v>
      </c>
      <c r="C66" s="109">
        <f t="shared" si="43"/>
        <v>0.014774554437890632</v>
      </c>
      <c r="D66" s="145">
        <f t="shared" si="0"/>
        <v>131317537.63780916</v>
      </c>
      <c r="E66" s="108">
        <v>2013</v>
      </c>
      <c r="F66" s="108">
        <f t="shared" si="44"/>
        <v>0.027</v>
      </c>
      <c r="G66" s="108">
        <f t="shared" si="38"/>
        <v>0.35</v>
      </c>
      <c r="H66" s="108">
        <f t="shared" si="39"/>
        <v>0.045</v>
      </c>
      <c r="I66" s="108">
        <f t="shared" si="40"/>
        <v>0</v>
      </c>
      <c r="J66" s="108">
        <f t="shared" si="41"/>
        <v>0</v>
      </c>
      <c r="K66" s="108">
        <f t="shared" si="19"/>
        <v>3545573.516220847</v>
      </c>
      <c r="L66" s="108">
        <f t="shared" si="20"/>
        <v>45961138.1732332</v>
      </c>
      <c r="M66" s="108">
        <f t="shared" si="21"/>
        <v>5909289.193701412</v>
      </c>
      <c r="N66" s="108">
        <f t="shared" si="22"/>
        <v>0</v>
      </c>
      <c r="O66" s="108">
        <f t="shared" si="23"/>
        <v>0</v>
      </c>
      <c r="P66" s="110">
        <v>1</v>
      </c>
      <c r="R66" s="20">
        <f t="shared" si="45"/>
        <v>8888087839.795282</v>
      </c>
    </row>
    <row r="67" spans="1:18" ht="12.75">
      <c r="A67" s="108" t="s">
        <v>22</v>
      </c>
      <c r="B67" s="147">
        <f t="shared" si="42"/>
        <v>20009324.569399126</v>
      </c>
      <c r="C67" s="109">
        <f t="shared" si="43"/>
        <v>0.015513282159785164</v>
      </c>
      <c r="D67" s="145">
        <f t="shared" si="0"/>
        <v>139262248.6648966</v>
      </c>
      <c r="E67" s="108">
        <v>2014</v>
      </c>
      <c r="F67" s="108">
        <f t="shared" si="44"/>
        <v>0.027</v>
      </c>
      <c r="G67" s="108">
        <f t="shared" si="38"/>
        <v>0.35</v>
      </c>
      <c r="H67" s="108">
        <f t="shared" si="39"/>
        <v>0.045</v>
      </c>
      <c r="I67" s="108">
        <f t="shared" si="40"/>
        <v>0</v>
      </c>
      <c r="J67" s="108">
        <f t="shared" si="41"/>
        <v>0</v>
      </c>
      <c r="K67" s="108">
        <f t="shared" si="19"/>
        <v>3760080.7139522084</v>
      </c>
      <c r="L67" s="108">
        <f t="shared" si="20"/>
        <v>48741787.03271381</v>
      </c>
      <c r="M67" s="108">
        <f t="shared" si="21"/>
        <v>6266801.189920347</v>
      </c>
      <c r="N67" s="108">
        <f t="shared" si="22"/>
        <v>0</v>
      </c>
      <c r="O67" s="108">
        <f t="shared" si="23"/>
        <v>0</v>
      </c>
      <c r="P67" s="110">
        <v>1</v>
      </c>
      <c r="R67" s="20">
        <f t="shared" si="45"/>
        <v>8976968718.193235</v>
      </c>
    </row>
    <row r="68" spans="1:18" ht="12.75">
      <c r="A68" s="108" t="s">
        <v>22</v>
      </c>
      <c r="B68" s="147">
        <f t="shared" si="42"/>
        <v>20309464.43794011</v>
      </c>
      <c r="C68" s="109">
        <f t="shared" si="43"/>
        <v>0.016288946267774423</v>
      </c>
      <c r="D68" s="145">
        <f t="shared" si="0"/>
        <v>146210738.56203166</v>
      </c>
      <c r="E68" s="108">
        <v>2015</v>
      </c>
      <c r="F68" s="108">
        <f t="shared" si="44"/>
        <v>0.027</v>
      </c>
      <c r="G68" s="108">
        <f t="shared" si="38"/>
        <v>0.35</v>
      </c>
      <c r="H68" s="108">
        <f t="shared" si="39"/>
        <v>0.045</v>
      </c>
      <c r="I68" s="108">
        <f t="shared" si="40"/>
        <v>0</v>
      </c>
      <c r="J68" s="108">
        <f t="shared" si="41"/>
        <v>0</v>
      </c>
      <c r="K68" s="108">
        <f t="shared" si="19"/>
        <v>3947689.9411748545</v>
      </c>
      <c r="L68" s="108">
        <f t="shared" si="20"/>
        <v>51173758.496711075</v>
      </c>
      <c r="M68" s="108">
        <f t="shared" si="21"/>
        <v>6579483.235291424</v>
      </c>
      <c r="N68" s="108">
        <f t="shared" si="22"/>
        <v>0</v>
      </c>
      <c r="O68" s="108">
        <f t="shared" si="23"/>
        <v>0</v>
      </c>
      <c r="P68" s="110">
        <v>1</v>
      </c>
      <c r="R68" s="20">
        <f aca="true" t="shared" si="46" ref="R68:R73">R67*(1+$B$4)*0.99</f>
        <v>8976071021.321417</v>
      </c>
    </row>
    <row r="69" spans="1:18" ht="12.75">
      <c r="A69" s="108" t="s">
        <v>22</v>
      </c>
      <c r="B69" s="147">
        <f t="shared" si="42"/>
        <v>20614106.40450921</v>
      </c>
      <c r="C69" s="109">
        <f t="shared" si="43"/>
        <v>0.017103393581163143</v>
      </c>
      <c r="D69" s="145">
        <f t="shared" si="0"/>
        <v>153505923.36258423</v>
      </c>
      <c r="E69" s="108">
        <v>2016</v>
      </c>
      <c r="F69" s="108">
        <f t="shared" si="44"/>
        <v>0.027</v>
      </c>
      <c r="G69" s="108">
        <f t="shared" si="38"/>
        <v>0.35</v>
      </c>
      <c r="H69" s="108">
        <f t="shared" si="39"/>
        <v>0.045</v>
      </c>
      <c r="I69" s="108">
        <f t="shared" si="40"/>
        <v>0</v>
      </c>
      <c r="J69" s="108">
        <f t="shared" si="41"/>
        <v>0</v>
      </c>
      <c r="K69" s="108">
        <f t="shared" si="19"/>
        <v>4144659.9307897743</v>
      </c>
      <c r="L69" s="108">
        <f t="shared" si="20"/>
        <v>53727073.17690448</v>
      </c>
      <c r="M69" s="108">
        <f t="shared" si="21"/>
        <v>6907766.55131629</v>
      </c>
      <c r="N69" s="108">
        <f t="shared" si="22"/>
        <v>0</v>
      </c>
      <c r="O69" s="108">
        <f t="shared" si="23"/>
        <v>0</v>
      </c>
      <c r="P69" s="110">
        <v>1</v>
      </c>
      <c r="R69" s="20">
        <f t="shared" si="46"/>
        <v>8975173414.219286</v>
      </c>
    </row>
    <row r="70" spans="1:18" ht="12.75">
      <c r="A70" s="108" t="s">
        <v>22</v>
      </c>
      <c r="B70" s="147">
        <f t="shared" si="42"/>
        <v>20923318.000576846</v>
      </c>
      <c r="C70" s="109">
        <f t="shared" si="43"/>
        <v>0.0179585632602213</v>
      </c>
      <c r="D70" s="145">
        <f t="shared" si="0"/>
        <v>161165101.40876037</v>
      </c>
      <c r="E70" s="108">
        <v>2017</v>
      </c>
      <c r="F70" s="108">
        <f t="shared" si="44"/>
        <v>0.027</v>
      </c>
      <c r="G70" s="108">
        <f t="shared" si="38"/>
        <v>0.35</v>
      </c>
      <c r="H70" s="108">
        <f t="shared" si="39"/>
        <v>0.045</v>
      </c>
      <c r="I70" s="108">
        <f t="shared" si="40"/>
        <v>0</v>
      </c>
      <c r="J70" s="108">
        <f t="shared" si="41"/>
        <v>0</v>
      </c>
      <c r="K70" s="108">
        <f t="shared" si="19"/>
        <v>4351457.73803653</v>
      </c>
      <c r="L70" s="108">
        <f t="shared" si="20"/>
        <v>56407785.493066125</v>
      </c>
      <c r="M70" s="108">
        <f t="shared" si="21"/>
        <v>7252429.563394216</v>
      </c>
      <c r="N70" s="108">
        <f t="shared" si="22"/>
        <v>0</v>
      </c>
      <c r="O70" s="108">
        <f t="shared" si="23"/>
        <v>0</v>
      </c>
      <c r="P70" s="110">
        <v>1</v>
      </c>
      <c r="R70" s="20">
        <f t="shared" si="46"/>
        <v>8974275896.877865</v>
      </c>
    </row>
    <row r="71" spans="1:18" ht="12.75">
      <c r="A71" s="108" t="s">
        <v>22</v>
      </c>
      <c r="B71" s="147">
        <f t="shared" si="42"/>
        <v>21237167.770585496</v>
      </c>
      <c r="C71" s="109">
        <f t="shared" si="43"/>
        <v>0.018856491423232365</v>
      </c>
      <c r="D71" s="145">
        <f t="shared" si="0"/>
        <v>169206434.1435505</v>
      </c>
      <c r="E71" s="108">
        <v>2018</v>
      </c>
      <c r="F71" s="108">
        <f t="shared" si="44"/>
        <v>0.027</v>
      </c>
      <c r="G71" s="108">
        <f t="shared" si="38"/>
        <v>0.35</v>
      </c>
      <c r="H71" s="108">
        <f t="shared" si="39"/>
        <v>0.045</v>
      </c>
      <c r="I71" s="108">
        <f t="shared" si="40"/>
        <v>0</v>
      </c>
      <c r="J71" s="108">
        <f t="shared" si="41"/>
        <v>0</v>
      </c>
      <c r="K71" s="108">
        <f t="shared" si="19"/>
        <v>4568573.721875863</v>
      </c>
      <c r="L71" s="108">
        <f t="shared" si="20"/>
        <v>59222251.95024267</v>
      </c>
      <c r="M71" s="108">
        <f t="shared" si="21"/>
        <v>7614289.536459772</v>
      </c>
      <c r="N71" s="108">
        <f t="shared" si="22"/>
        <v>0</v>
      </c>
      <c r="O71" s="108">
        <f t="shared" si="23"/>
        <v>0</v>
      </c>
      <c r="P71" s="110">
        <v>1</v>
      </c>
      <c r="R71" s="20">
        <f t="shared" si="46"/>
        <v>8973378469.288177</v>
      </c>
    </row>
    <row r="72" spans="1:18" ht="12.75">
      <c r="A72" s="108" t="s">
        <v>22</v>
      </c>
      <c r="B72" s="147">
        <f t="shared" si="42"/>
        <v>21555725.287144277</v>
      </c>
      <c r="C72" s="109">
        <f t="shared" si="43"/>
        <v>0.019799315994393985</v>
      </c>
      <c r="D72" s="145">
        <f t="shared" si="0"/>
        <v>177648989.17514297</v>
      </c>
      <c r="E72" s="108">
        <v>2019</v>
      </c>
      <c r="F72" s="108">
        <f t="shared" si="44"/>
        <v>0.027</v>
      </c>
      <c r="G72" s="108">
        <f t="shared" si="38"/>
        <v>0.35</v>
      </c>
      <c r="H72" s="108">
        <f t="shared" si="39"/>
        <v>0.045</v>
      </c>
      <c r="I72" s="108">
        <f t="shared" si="40"/>
        <v>0</v>
      </c>
      <c r="J72" s="108">
        <f t="shared" si="41"/>
        <v>0</v>
      </c>
      <c r="K72" s="108">
        <f t="shared" si="19"/>
        <v>4796522.70772886</v>
      </c>
      <c r="L72" s="108">
        <f t="shared" si="20"/>
        <v>62177146.21130004</v>
      </c>
      <c r="M72" s="108">
        <f t="shared" si="21"/>
        <v>7994204.512881434</v>
      </c>
      <c r="N72" s="108">
        <f t="shared" si="22"/>
        <v>0</v>
      </c>
      <c r="O72" s="108">
        <f t="shared" si="23"/>
        <v>0</v>
      </c>
      <c r="P72" s="110">
        <v>1</v>
      </c>
      <c r="R72" s="20">
        <f t="shared" si="46"/>
        <v>8972481131.44125</v>
      </c>
    </row>
    <row r="73" spans="1:18" ht="12.75">
      <c r="A73" s="108" t="s">
        <v>22</v>
      </c>
      <c r="B73" s="147">
        <f t="shared" si="42"/>
        <v>21879061.16645144</v>
      </c>
      <c r="C73" s="109">
        <f t="shared" si="43"/>
        <v>0.020789281794113684</v>
      </c>
      <c r="D73" s="145">
        <f t="shared" si="0"/>
        <v>186512785.49003673</v>
      </c>
      <c r="E73" s="108">
        <v>2020</v>
      </c>
      <c r="F73" s="108">
        <f t="shared" si="44"/>
        <v>0.027</v>
      </c>
      <c r="G73" s="108">
        <f t="shared" si="38"/>
        <v>0.35</v>
      </c>
      <c r="H73" s="108">
        <f t="shared" si="39"/>
        <v>0.045</v>
      </c>
      <c r="I73" s="108">
        <f t="shared" si="40"/>
        <v>0</v>
      </c>
      <c r="J73" s="108">
        <f t="shared" si="41"/>
        <v>0</v>
      </c>
      <c r="K73" s="108">
        <f t="shared" si="19"/>
        <v>5035845.208230992</v>
      </c>
      <c r="L73" s="108">
        <f t="shared" si="20"/>
        <v>65279474.92151285</v>
      </c>
      <c r="M73" s="108">
        <f t="shared" si="21"/>
        <v>8393075.347051652</v>
      </c>
      <c r="N73" s="108">
        <f t="shared" si="22"/>
        <v>0</v>
      </c>
      <c r="O73" s="108">
        <f t="shared" si="23"/>
        <v>0</v>
      </c>
      <c r="P73" s="110">
        <v>1</v>
      </c>
      <c r="R73" s="20">
        <f t="shared" si="46"/>
        <v>8971583883.328106</v>
      </c>
    </row>
    <row r="74" spans="1:18" ht="12.75">
      <c r="A74" s="100" t="s">
        <v>25</v>
      </c>
      <c r="B74" s="146">
        <f>$B$1</f>
        <v>17500000</v>
      </c>
      <c r="C74" s="111">
        <v>0.05</v>
      </c>
      <c r="D74" s="142">
        <f t="shared" si="0"/>
        <v>410400000</v>
      </c>
      <c r="E74" s="100">
        <v>2005</v>
      </c>
      <c r="F74" s="100">
        <v>0.42</v>
      </c>
      <c r="G74" s="100">
        <v>1.6</v>
      </c>
      <c r="H74" s="100">
        <v>0.15</v>
      </c>
      <c r="I74" s="100">
        <v>0.08</v>
      </c>
      <c r="J74" s="100">
        <v>0.014</v>
      </c>
      <c r="K74" s="100">
        <f t="shared" si="19"/>
        <v>172368000</v>
      </c>
      <c r="L74" s="100">
        <f t="shared" si="20"/>
        <v>656640000</v>
      </c>
      <c r="M74" s="100">
        <f t="shared" si="21"/>
        <v>61560000</v>
      </c>
      <c r="N74" s="100">
        <f t="shared" si="22"/>
        <v>32832000</v>
      </c>
      <c r="O74" s="100">
        <f t="shared" si="23"/>
        <v>5745600</v>
      </c>
      <c r="P74" s="112"/>
      <c r="R74" s="20">
        <f>$B$3</f>
        <v>8208000000</v>
      </c>
    </row>
    <row r="75" spans="1:18" ht="12.75">
      <c r="A75" s="100" t="s">
        <v>25</v>
      </c>
      <c r="B75" s="146">
        <f>B74*(1+$B$2)</f>
        <v>17762500</v>
      </c>
      <c r="C75" s="111">
        <f>C74*$F$2</f>
        <v>0.0475</v>
      </c>
      <c r="D75" s="142">
        <f aca="true" t="shared" si="47" ref="D75:D89">R75*C75</f>
        <v>393778800</v>
      </c>
      <c r="E75" s="100">
        <v>2006</v>
      </c>
      <c r="F75" s="100">
        <f>F74*$P75</f>
        <v>0.42</v>
      </c>
      <c r="G75" s="100">
        <f aca="true" t="shared" si="48" ref="G75:G89">G74*$P75</f>
        <v>1.6</v>
      </c>
      <c r="H75" s="100">
        <f aca="true" t="shared" si="49" ref="H75:H89">H74*$P75</f>
        <v>0.15</v>
      </c>
      <c r="I75" s="100">
        <f aca="true" t="shared" si="50" ref="I75:I89">I74*$P75</f>
        <v>0.08</v>
      </c>
      <c r="J75" s="100">
        <f aca="true" t="shared" si="51" ref="J75:J89">J74*$P75</f>
        <v>0.014</v>
      </c>
      <c r="K75" s="100">
        <f t="shared" si="19"/>
        <v>165387096</v>
      </c>
      <c r="L75" s="100">
        <f t="shared" si="20"/>
        <v>630046080</v>
      </c>
      <c r="M75" s="100">
        <f t="shared" si="21"/>
        <v>59066820</v>
      </c>
      <c r="N75" s="100">
        <f t="shared" si="22"/>
        <v>31502304</v>
      </c>
      <c r="O75" s="100">
        <f t="shared" si="23"/>
        <v>5512903.2</v>
      </c>
      <c r="P75" s="112">
        <v>1</v>
      </c>
      <c r="R75" s="20">
        <f>R74*(1+$B$4)</f>
        <v>8290080000</v>
      </c>
    </row>
    <row r="76" spans="1:18" ht="12.75">
      <c r="A76" s="100" t="s">
        <v>25</v>
      </c>
      <c r="B76" s="146">
        <f aca="true" t="shared" si="52" ref="B76:B89">B75*(1+$B$2)</f>
        <v>18028937.5</v>
      </c>
      <c r="C76" s="111">
        <f aca="true" t="shared" si="53" ref="C76:C84">C75*$F$2</f>
        <v>0.045125</v>
      </c>
      <c r="D76" s="142">
        <f t="shared" si="47"/>
        <v>377830758.59999996</v>
      </c>
      <c r="E76" s="100">
        <v>2007</v>
      </c>
      <c r="F76" s="100">
        <f aca="true" t="shared" si="54" ref="F76:F89">F75*$P76</f>
        <v>0.42</v>
      </c>
      <c r="G76" s="100">
        <f t="shared" si="48"/>
        <v>1.6</v>
      </c>
      <c r="H76" s="100">
        <f t="shared" si="49"/>
        <v>0.15</v>
      </c>
      <c r="I76" s="100">
        <f t="shared" si="50"/>
        <v>0.08</v>
      </c>
      <c r="J76" s="100">
        <f t="shared" si="51"/>
        <v>0.014</v>
      </c>
      <c r="K76" s="100">
        <f t="shared" si="19"/>
        <v>158688918.612</v>
      </c>
      <c r="L76" s="100">
        <f t="shared" si="20"/>
        <v>604529213.76</v>
      </c>
      <c r="M76" s="100">
        <f t="shared" si="21"/>
        <v>56674613.78999999</v>
      </c>
      <c r="N76" s="100">
        <f t="shared" si="22"/>
        <v>30226460.687999997</v>
      </c>
      <c r="O76" s="100">
        <f t="shared" si="23"/>
        <v>5289630.620399999</v>
      </c>
      <c r="P76" s="112">
        <v>1</v>
      </c>
      <c r="R76" s="20">
        <f aca="true" t="shared" si="55" ref="R76:R83">R75*(1+$B$4)</f>
        <v>8372980800</v>
      </c>
    </row>
    <row r="77" spans="1:18" ht="12.75">
      <c r="A77" s="100" t="s">
        <v>25</v>
      </c>
      <c r="B77" s="146">
        <f t="shared" si="52"/>
        <v>18299371.5625</v>
      </c>
      <c r="C77" s="111">
        <f t="shared" si="53"/>
        <v>0.04286875</v>
      </c>
      <c r="D77" s="142">
        <f t="shared" si="47"/>
        <v>362528612.8767</v>
      </c>
      <c r="E77" s="100">
        <v>2008</v>
      </c>
      <c r="F77" s="100">
        <f t="shared" si="54"/>
        <v>0.42</v>
      </c>
      <c r="G77" s="100">
        <f t="shared" si="48"/>
        <v>1.6</v>
      </c>
      <c r="H77" s="100">
        <f t="shared" si="49"/>
        <v>0.15</v>
      </c>
      <c r="I77" s="100">
        <f t="shared" si="50"/>
        <v>0.08</v>
      </c>
      <c r="J77" s="100">
        <f t="shared" si="51"/>
        <v>0.014</v>
      </c>
      <c r="K77" s="100">
        <f t="shared" si="19"/>
        <v>152262017.40821397</v>
      </c>
      <c r="L77" s="100">
        <f t="shared" si="20"/>
        <v>580045780.60272</v>
      </c>
      <c r="M77" s="100">
        <f t="shared" si="21"/>
        <v>54379291.931504995</v>
      </c>
      <c r="N77" s="100">
        <f t="shared" si="22"/>
        <v>29002289.030136</v>
      </c>
      <c r="O77" s="100">
        <f t="shared" si="23"/>
        <v>5075400.5802738</v>
      </c>
      <c r="P77" s="112">
        <v>1</v>
      </c>
      <c r="R77" s="20">
        <f t="shared" si="55"/>
        <v>8456710608</v>
      </c>
    </row>
    <row r="78" spans="1:18" ht="12.75">
      <c r="A78" s="100" t="s">
        <v>25</v>
      </c>
      <c r="B78" s="146">
        <f t="shared" si="52"/>
        <v>18573862.135937497</v>
      </c>
      <c r="C78" s="111">
        <f t="shared" si="53"/>
        <v>0.04072531249999999</v>
      </c>
      <c r="D78" s="142">
        <f t="shared" si="47"/>
        <v>347846204.0551936</v>
      </c>
      <c r="E78" s="100">
        <v>2009</v>
      </c>
      <c r="F78" s="100">
        <f t="shared" si="54"/>
        <v>0.42</v>
      </c>
      <c r="G78" s="100">
        <f t="shared" si="48"/>
        <v>1.6</v>
      </c>
      <c r="H78" s="100">
        <f t="shared" si="49"/>
        <v>0.15</v>
      </c>
      <c r="I78" s="100">
        <f t="shared" si="50"/>
        <v>0.08</v>
      </c>
      <c r="J78" s="100">
        <f t="shared" si="51"/>
        <v>0.014</v>
      </c>
      <c r="K78" s="100">
        <f t="shared" si="19"/>
        <v>146095405.7031813</v>
      </c>
      <c r="L78" s="100">
        <f t="shared" si="20"/>
        <v>556553926.4883097</v>
      </c>
      <c r="M78" s="100">
        <f t="shared" si="21"/>
        <v>52176930.60827904</v>
      </c>
      <c r="N78" s="100">
        <f t="shared" si="22"/>
        <v>27827696.32441549</v>
      </c>
      <c r="O78" s="100">
        <f t="shared" si="23"/>
        <v>4869846.856772711</v>
      </c>
      <c r="P78" s="112">
        <v>1</v>
      </c>
      <c r="R78" s="20">
        <f t="shared" si="55"/>
        <v>8541277714.08</v>
      </c>
    </row>
    <row r="79" spans="1:18" ht="12.75">
      <c r="A79" s="100" t="s">
        <v>25</v>
      </c>
      <c r="B79" s="146">
        <f t="shared" si="52"/>
        <v>18852470.067976557</v>
      </c>
      <c r="C79" s="111">
        <f t="shared" si="53"/>
        <v>0.038689046874999994</v>
      </c>
      <c r="D79" s="142">
        <f t="shared" si="47"/>
        <v>333758432.7909583</v>
      </c>
      <c r="E79" s="100">
        <v>2010</v>
      </c>
      <c r="F79" s="100">
        <f t="shared" si="54"/>
        <v>0.42</v>
      </c>
      <c r="G79" s="100">
        <f t="shared" si="48"/>
        <v>1.6</v>
      </c>
      <c r="H79" s="100">
        <f t="shared" si="49"/>
        <v>0.15</v>
      </c>
      <c r="I79" s="100">
        <f t="shared" si="50"/>
        <v>0.08</v>
      </c>
      <c r="J79" s="100">
        <f t="shared" si="51"/>
        <v>0.014</v>
      </c>
      <c r="K79" s="100">
        <f t="shared" si="19"/>
        <v>140178541.77220246</v>
      </c>
      <c r="L79" s="100">
        <f t="shared" si="20"/>
        <v>534013492.46553326</v>
      </c>
      <c r="M79" s="100">
        <f t="shared" si="21"/>
        <v>50063764.91864374</v>
      </c>
      <c r="N79" s="100">
        <f t="shared" si="22"/>
        <v>26700674.623276662</v>
      </c>
      <c r="O79" s="100">
        <f t="shared" si="23"/>
        <v>4672618.0590734165</v>
      </c>
      <c r="P79" s="112">
        <v>1</v>
      </c>
      <c r="R79" s="20">
        <f t="shared" si="55"/>
        <v>8626690491.2208</v>
      </c>
    </row>
    <row r="80" spans="1:18" ht="12.75">
      <c r="A80" s="100" t="s">
        <v>25</v>
      </c>
      <c r="B80" s="146">
        <f t="shared" si="52"/>
        <v>19135257.118996203</v>
      </c>
      <c r="C80" s="111">
        <f t="shared" si="53"/>
        <v>0.03675459453124999</v>
      </c>
      <c r="D80" s="142">
        <f t="shared" si="47"/>
        <v>320241216.26292443</v>
      </c>
      <c r="E80" s="100">
        <v>2011</v>
      </c>
      <c r="F80" s="100">
        <f t="shared" si="54"/>
        <v>0.42</v>
      </c>
      <c r="G80" s="100">
        <f t="shared" si="48"/>
        <v>1.6</v>
      </c>
      <c r="H80" s="100">
        <f t="shared" si="49"/>
        <v>0.15</v>
      </c>
      <c r="I80" s="100">
        <f t="shared" si="50"/>
        <v>0.08</v>
      </c>
      <c r="J80" s="100">
        <f t="shared" si="51"/>
        <v>0.014</v>
      </c>
      <c r="K80" s="100">
        <f t="shared" si="19"/>
        <v>134501310.83042824</v>
      </c>
      <c r="L80" s="100">
        <f t="shared" si="20"/>
        <v>512385946.0206791</v>
      </c>
      <c r="M80" s="100">
        <f t="shared" si="21"/>
        <v>48036182.43943866</v>
      </c>
      <c r="N80" s="100">
        <f t="shared" si="22"/>
        <v>25619297.301033955</v>
      </c>
      <c r="O80" s="100">
        <f t="shared" si="23"/>
        <v>4483377.027680942</v>
      </c>
      <c r="P80" s="112">
        <v>1</v>
      </c>
      <c r="R80" s="20">
        <f t="shared" si="55"/>
        <v>8712957396.133009</v>
      </c>
    </row>
    <row r="81" spans="1:18" ht="12.75">
      <c r="A81" s="100" t="s">
        <v>25</v>
      </c>
      <c r="B81" s="146">
        <f t="shared" si="52"/>
        <v>19422285.975781143</v>
      </c>
      <c r="C81" s="111">
        <f t="shared" si="53"/>
        <v>0.03491686480468749</v>
      </c>
      <c r="D81" s="142">
        <f t="shared" si="47"/>
        <v>307271447.004276</v>
      </c>
      <c r="E81" s="100">
        <v>2012</v>
      </c>
      <c r="F81" s="100">
        <f t="shared" si="54"/>
        <v>0.42</v>
      </c>
      <c r="G81" s="100">
        <f t="shared" si="48"/>
        <v>1.6</v>
      </c>
      <c r="H81" s="100">
        <f t="shared" si="49"/>
        <v>0.15</v>
      </c>
      <c r="I81" s="100">
        <f t="shared" si="50"/>
        <v>0.08</v>
      </c>
      <c r="J81" s="100">
        <f t="shared" si="51"/>
        <v>0.014</v>
      </c>
      <c r="K81" s="100">
        <f t="shared" si="19"/>
        <v>129054007.74179591</v>
      </c>
      <c r="L81" s="100">
        <f t="shared" si="20"/>
        <v>491634315.2068416</v>
      </c>
      <c r="M81" s="100">
        <f t="shared" si="21"/>
        <v>46090717.050641395</v>
      </c>
      <c r="N81" s="100">
        <f t="shared" si="22"/>
        <v>24581715.76034208</v>
      </c>
      <c r="O81" s="100">
        <f t="shared" si="23"/>
        <v>4301800.258059864</v>
      </c>
      <c r="P81" s="112">
        <v>1</v>
      </c>
      <c r="R81" s="20">
        <f t="shared" si="55"/>
        <v>8800086970.09434</v>
      </c>
    </row>
    <row r="82" spans="1:18" ht="12.75">
      <c r="A82" s="100" t="s">
        <v>25</v>
      </c>
      <c r="B82" s="146">
        <f t="shared" si="52"/>
        <v>19713620.26541786</v>
      </c>
      <c r="C82" s="111">
        <f t="shared" si="53"/>
        <v>0.03317102156445311</v>
      </c>
      <c r="D82" s="142">
        <f t="shared" si="47"/>
        <v>294826953.40060276</v>
      </c>
      <c r="E82" s="100">
        <v>2013</v>
      </c>
      <c r="F82" s="100">
        <f t="shared" si="54"/>
        <v>0.42</v>
      </c>
      <c r="G82" s="100">
        <f t="shared" si="48"/>
        <v>1.6</v>
      </c>
      <c r="H82" s="100">
        <f t="shared" si="49"/>
        <v>0.15</v>
      </c>
      <c r="I82" s="100">
        <f t="shared" si="50"/>
        <v>0.08</v>
      </c>
      <c r="J82" s="100">
        <f t="shared" si="51"/>
        <v>0.014</v>
      </c>
      <c r="K82" s="100">
        <f t="shared" si="19"/>
        <v>123827320.42825316</v>
      </c>
      <c r="L82" s="100">
        <f t="shared" si="20"/>
        <v>471723125.44096446</v>
      </c>
      <c r="M82" s="100">
        <f t="shared" si="21"/>
        <v>44224043.01009041</v>
      </c>
      <c r="N82" s="100">
        <f t="shared" si="22"/>
        <v>23586156.27204822</v>
      </c>
      <c r="O82" s="100">
        <f t="shared" si="23"/>
        <v>4127577.3476084387</v>
      </c>
      <c r="P82" s="112">
        <v>1</v>
      </c>
      <c r="R82" s="20">
        <f t="shared" si="55"/>
        <v>8888087839.795282</v>
      </c>
    </row>
    <row r="83" spans="1:18" ht="12.75">
      <c r="A83" s="100" t="s">
        <v>25</v>
      </c>
      <c r="B83" s="146">
        <f t="shared" si="52"/>
        <v>20009324.569399126</v>
      </c>
      <c r="C83" s="111">
        <f t="shared" si="53"/>
        <v>0.03151247048623045</v>
      </c>
      <c r="D83" s="142">
        <f t="shared" si="47"/>
        <v>282886461.78787833</v>
      </c>
      <c r="E83" s="100">
        <v>2014</v>
      </c>
      <c r="F83" s="100">
        <f t="shared" si="54"/>
        <v>0.42</v>
      </c>
      <c r="G83" s="100">
        <f t="shared" si="48"/>
        <v>1.6</v>
      </c>
      <c r="H83" s="100">
        <f t="shared" si="49"/>
        <v>0.15</v>
      </c>
      <c r="I83" s="100">
        <f t="shared" si="50"/>
        <v>0.08</v>
      </c>
      <c r="J83" s="100">
        <f t="shared" si="51"/>
        <v>0.014</v>
      </c>
      <c r="K83" s="100">
        <f t="shared" si="19"/>
        <v>118812313.9509089</v>
      </c>
      <c r="L83" s="100">
        <f t="shared" si="20"/>
        <v>452618338.86060536</v>
      </c>
      <c r="M83" s="100">
        <f t="shared" si="21"/>
        <v>42432969.26818175</v>
      </c>
      <c r="N83" s="100">
        <f t="shared" si="22"/>
        <v>22630916.943030268</v>
      </c>
      <c r="O83" s="100">
        <f t="shared" si="23"/>
        <v>3960410.4650302967</v>
      </c>
      <c r="P83" s="112">
        <v>1</v>
      </c>
      <c r="R83" s="20">
        <f t="shared" si="55"/>
        <v>8976968718.193235</v>
      </c>
    </row>
    <row r="84" spans="1:18" ht="12.75">
      <c r="A84" s="100" t="s">
        <v>25</v>
      </c>
      <c r="B84" s="146">
        <f t="shared" si="52"/>
        <v>20309464.43794011</v>
      </c>
      <c r="C84" s="111">
        <f t="shared" si="53"/>
        <v>0.02993684696191893</v>
      </c>
      <c r="D84" s="142">
        <f t="shared" si="47"/>
        <v>268715264.4846146</v>
      </c>
      <c r="E84" s="100">
        <v>2015</v>
      </c>
      <c r="F84" s="100">
        <f t="shared" si="54"/>
        <v>0.42</v>
      </c>
      <c r="G84" s="100">
        <f t="shared" si="48"/>
        <v>1.6</v>
      </c>
      <c r="H84" s="100">
        <f t="shared" si="49"/>
        <v>0.15</v>
      </c>
      <c r="I84" s="100">
        <f t="shared" si="50"/>
        <v>0.08</v>
      </c>
      <c r="J84" s="100">
        <f t="shared" si="51"/>
        <v>0.014</v>
      </c>
      <c r="K84" s="100">
        <f t="shared" si="19"/>
        <v>112860411.08353813</v>
      </c>
      <c r="L84" s="100">
        <f t="shared" si="20"/>
        <v>429944423.1753834</v>
      </c>
      <c r="M84" s="100">
        <f t="shared" si="21"/>
        <v>40307289.67269219</v>
      </c>
      <c r="N84" s="100">
        <f t="shared" si="22"/>
        <v>21497221.158769168</v>
      </c>
      <c r="O84" s="100">
        <f t="shared" si="23"/>
        <v>3762013.702784605</v>
      </c>
      <c r="P84" s="112">
        <v>1</v>
      </c>
      <c r="R84" s="20">
        <f aca="true" t="shared" si="56" ref="R84:R89">R83*(1+$B$4)*0.99</f>
        <v>8976071021.321417</v>
      </c>
    </row>
    <row r="85" spans="1:18" ht="12.75">
      <c r="A85" s="100" t="s">
        <v>25</v>
      </c>
      <c r="B85" s="146">
        <f t="shared" si="52"/>
        <v>20614106.40450921</v>
      </c>
      <c r="C85" s="111">
        <f>C84*$F$3</f>
        <v>0.02933811002268055</v>
      </c>
      <c r="D85" s="142">
        <f t="shared" si="47"/>
        <v>263314625.09900284</v>
      </c>
      <c r="E85" s="100">
        <v>2016</v>
      </c>
      <c r="F85" s="100">
        <f t="shared" si="54"/>
        <v>0.42</v>
      </c>
      <c r="G85" s="100">
        <f t="shared" si="48"/>
        <v>1.6</v>
      </c>
      <c r="H85" s="100">
        <f t="shared" si="49"/>
        <v>0.15</v>
      </c>
      <c r="I85" s="100">
        <f t="shared" si="50"/>
        <v>0.08</v>
      </c>
      <c r="J85" s="100">
        <f t="shared" si="51"/>
        <v>0.014</v>
      </c>
      <c r="K85" s="100">
        <f t="shared" si="19"/>
        <v>110592142.54158118</v>
      </c>
      <c r="L85" s="100">
        <f t="shared" si="20"/>
        <v>421303400.1584046</v>
      </c>
      <c r="M85" s="100">
        <f t="shared" si="21"/>
        <v>39497193.76485042</v>
      </c>
      <c r="N85" s="100">
        <f t="shared" si="22"/>
        <v>21065170.007920228</v>
      </c>
      <c r="O85" s="100">
        <f t="shared" si="23"/>
        <v>3686404.75138604</v>
      </c>
      <c r="P85" s="112">
        <v>1</v>
      </c>
      <c r="R85" s="20">
        <f t="shared" si="56"/>
        <v>8975173414.219286</v>
      </c>
    </row>
    <row r="86" spans="1:18" ht="12.75">
      <c r="A86" s="100" t="s">
        <v>25</v>
      </c>
      <c r="B86" s="146">
        <f t="shared" si="52"/>
        <v>20923318.000576846</v>
      </c>
      <c r="C86" s="111">
        <f>C85*$F$3</f>
        <v>0.028751347822226936</v>
      </c>
      <c r="D86" s="142">
        <f t="shared" si="47"/>
        <v>258022527.76376307</v>
      </c>
      <c r="E86" s="100">
        <v>2017</v>
      </c>
      <c r="F86" s="100">
        <f t="shared" si="54"/>
        <v>0.42</v>
      </c>
      <c r="G86" s="100">
        <f t="shared" si="48"/>
        <v>1.6</v>
      </c>
      <c r="H86" s="100">
        <f t="shared" si="49"/>
        <v>0.15</v>
      </c>
      <c r="I86" s="100">
        <f t="shared" si="50"/>
        <v>0.08</v>
      </c>
      <c r="J86" s="100">
        <f t="shared" si="51"/>
        <v>0.014</v>
      </c>
      <c r="K86" s="100">
        <f t="shared" si="19"/>
        <v>108369461.66078049</v>
      </c>
      <c r="L86" s="100">
        <f t="shared" si="20"/>
        <v>412836044.4220209</v>
      </c>
      <c r="M86" s="100">
        <f t="shared" si="21"/>
        <v>38703379.16456446</v>
      </c>
      <c r="N86" s="100">
        <f t="shared" si="22"/>
        <v>20641802.221101046</v>
      </c>
      <c r="O86" s="100">
        <f t="shared" si="23"/>
        <v>3612315.388692683</v>
      </c>
      <c r="P86" s="112">
        <v>1</v>
      </c>
      <c r="R86" s="20">
        <f t="shared" si="56"/>
        <v>8974275896.877865</v>
      </c>
    </row>
    <row r="87" spans="1:18" ht="12.75">
      <c r="A87" s="100" t="s">
        <v>25</v>
      </c>
      <c r="B87" s="146">
        <f t="shared" si="52"/>
        <v>21237167.770585496</v>
      </c>
      <c r="C87" s="111">
        <f>C86*$F$3</f>
        <v>0.028176320865782395</v>
      </c>
      <c r="D87" s="142">
        <f t="shared" si="47"/>
        <v>252836791.00076696</v>
      </c>
      <c r="E87" s="100">
        <v>2018</v>
      </c>
      <c r="F87" s="100">
        <f t="shared" si="54"/>
        <v>0.42</v>
      </c>
      <c r="G87" s="100">
        <f t="shared" si="48"/>
        <v>1.6</v>
      </c>
      <c r="H87" s="100">
        <f t="shared" si="49"/>
        <v>0.15</v>
      </c>
      <c r="I87" s="100">
        <f t="shared" si="50"/>
        <v>0.08</v>
      </c>
      <c r="J87" s="100">
        <f t="shared" si="51"/>
        <v>0.014</v>
      </c>
      <c r="K87" s="100">
        <f t="shared" si="19"/>
        <v>106191452.22032212</v>
      </c>
      <c r="L87" s="100">
        <f t="shared" si="20"/>
        <v>404538865.60122716</v>
      </c>
      <c r="M87" s="100">
        <f t="shared" si="21"/>
        <v>37925518.65011504</v>
      </c>
      <c r="N87" s="100">
        <f t="shared" si="22"/>
        <v>20226943.280061357</v>
      </c>
      <c r="O87" s="100">
        <f t="shared" si="23"/>
        <v>3539715.0740107377</v>
      </c>
      <c r="P87" s="112">
        <v>1</v>
      </c>
      <c r="R87" s="20">
        <f t="shared" si="56"/>
        <v>8973378469.288177</v>
      </c>
    </row>
    <row r="88" spans="1:18" ht="12.75">
      <c r="A88" s="100" t="s">
        <v>25</v>
      </c>
      <c r="B88" s="146">
        <f t="shared" si="52"/>
        <v>21555725.287144277</v>
      </c>
      <c r="C88" s="111">
        <f>C87*$F$3</f>
        <v>0.027612794448466746</v>
      </c>
      <c r="D88" s="142">
        <f t="shared" si="47"/>
        <v>247755277.17523357</v>
      </c>
      <c r="E88" s="100">
        <v>2019</v>
      </c>
      <c r="F88" s="100">
        <f t="shared" si="54"/>
        <v>0.42</v>
      </c>
      <c r="G88" s="100">
        <f t="shared" si="48"/>
        <v>1.6</v>
      </c>
      <c r="H88" s="100">
        <f t="shared" si="49"/>
        <v>0.15</v>
      </c>
      <c r="I88" s="100">
        <f t="shared" si="50"/>
        <v>0.08</v>
      </c>
      <c r="J88" s="100">
        <f t="shared" si="51"/>
        <v>0.014</v>
      </c>
      <c r="K88" s="100">
        <f t="shared" si="19"/>
        <v>104057216.41359809</v>
      </c>
      <c r="L88" s="100">
        <f t="shared" si="20"/>
        <v>396408443.48037374</v>
      </c>
      <c r="M88" s="100">
        <f t="shared" si="21"/>
        <v>37163291.576285034</v>
      </c>
      <c r="N88" s="100">
        <f t="shared" si="22"/>
        <v>19820422.174018685</v>
      </c>
      <c r="O88" s="100">
        <f t="shared" si="23"/>
        <v>3468573.88045327</v>
      </c>
      <c r="P88" s="112">
        <v>1</v>
      </c>
      <c r="R88" s="20">
        <f t="shared" si="56"/>
        <v>8972481131.44125</v>
      </c>
    </row>
    <row r="89" spans="1:18" ht="12.75">
      <c r="A89" s="100" t="s">
        <v>25</v>
      </c>
      <c r="B89" s="146">
        <f t="shared" si="52"/>
        <v>21879061.16645144</v>
      </c>
      <c r="C89" s="111">
        <f>C88*$F$3</f>
        <v>0.02706053855949741</v>
      </c>
      <c r="D89" s="142">
        <f t="shared" si="47"/>
        <v>242775891.6145657</v>
      </c>
      <c r="E89" s="100">
        <v>2020</v>
      </c>
      <c r="F89" s="100">
        <f t="shared" si="54"/>
        <v>0.42</v>
      </c>
      <c r="G89" s="100">
        <f t="shared" si="48"/>
        <v>1.6</v>
      </c>
      <c r="H89" s="100">
        <f t="shared" si="49"/>
        <v>0.15</v>
      </c>
      <c r="I89" s="100">
        <f t="shared" si="50"/>
        <v>0.08</v>
      </c>
      <c r="J89" s="100">
        <f t="shared" si="51"/>
        <v>0.014</v>
      </c>
      <c r="K89" s="100">
        <f t="shared" si="19"/>
        <v>101965874.47811759</v>
      </c>
      <c r="L89" s="100">
        <f t="shared" si="20"/>
        <v>388441426.5833051</v>
      </c>
      <c r="M89" s="100">
        <f t="shared" si="21"/>
        <v>36416383.742184855</v>
      </c>
      <c r="N89" s="100">
        <f t="shared" si="22"/>
        <v>19422071.329165258</v>
      </c>
      <c r="O89" s="100">
        <f t="shared" si="23"/>
        <v>3398862.4826039197</v>
      </c>
      <c r="P89" s="112">
        <v>1</v>
      </c>
      <c r="R89" s="20">
        <f t="shared" si="56"/>
        <v>8971583883.328106</v>
      </c>
    </row>
    <row r="90" spans="1:15" ht="12.75">
      <c r="A90" s="11" t="s">
        <v>33</v>
      </c>
      <c r="B90" s="113"/>
      <c r="C90" s="114"/>
      <c r="D90" s="115"/>
      <c r="E90" s="116"/>
      <c r="F90" s="117"/>
      <c r="G90" s="117"/>
      <c r="H90" s="117"/>
      <c r="I90" s="117"/>
      <c r="J90" s="117"/>
      <c r="K90" s="11">
        <f aca="true" t="shared" si="57" ref="K90:O99">K10+K26+K42+K58+K74</f>
        <v>14222904480</v>
      </c>
      <c r="L90" s="11">
        <f t="shared" si="57"/>
        <v>163235779200</v>
      </c>
      <c r="M90" s="11">
        <f t="shared" si="57"/>
        <v>24083421120</v>
      </c>
      <c r="N90" s="11">
        <f t="shared" si="57"/>
        <v>7382849760</v>
      </c>
      <c r="O90" s="11">
        <f t="shared" si="57"/>
        <v>293887440</v>
      </c>
    </row>
    <row r="91" spans="1:15" ht="12.75">
      <c r="A91" s="11" t="s">
        <v>33</v>
      </c>
      <c r="B91" s="113"/>
      <c r="C91" s="114"/>
      <c r="D91" s="115"/>
      <c r="E91" s="116"/>
      <c r="F91" s="117"/>
      <c r="G91" s="117"/>
      <c r="H91" s="117"/>
      <c r="I91" s="117"/>
      <c r="J91" s="117"/>
      <c r="K91" s="11">
        <f t="shared" si="57"/>
        <v>14379410424.24</v>
      </c>
      <c r="L91" s="11">
        <f t="shared" si="57"/>
        <v>165100991522.40002</v>
      </c>
      <c r="M91" s="11">
        <f t="shared" si="57"/>
        <v>24361175202.48</v>
      </c>
      <c r="N91" s="11">
        <f t="shared" si="57"/>
        <v>7467693010.559999</v>
      </c>
      <c r="O91" s="11">
        <f t="shared" si="57"/>
        <v>297251871.84</v>
      </c>
    </row>
    <row r="92" spans="1:15" ht="12.75">
      <c r="A92" s="11" t="s">
        <v>33</v>
      </c>
      <c r="B92" s="113"/>
      <c r="C92" s="114"/>
      <c r="D92" s="115"/>
      <c r="E92" s="116"/>
      <c r="F92" s="117"/>
      <c r="G92" s="117"/>
      <c r="H92" s="117"/>
      <c r="I92" s="117"/>
      <c r="J92" s="117"/>
      <c r="K92" s="11">
        <f t="shared" si="57"/>
        <v>14536337060.44332</v>
      </c>
      <c r="L92" s="11">
        <f t="shared" si="57"/>
        <v>166968891643.52518</v>
      </c>
      <c r="M92" s="11">
        <f t="shared" si="57"/>
        <v>24639224396.561638</v>
      </c>
      <c r="N92" s="11">
        <f t="shared" si="57"/>
        <v>7552618608.714479</v>
      </c>
      <c r="O92" s="11">
        <f t="shared" si="57"/>
        <v>300614641.23851997</v>
      </c>
    </row>
    <row r="93" spans="1:15" ht="12.75">
      <c r="A93" s="11" t="s">
        <v>33</v>
      </c>
      <c r="B93" s="113"/>
      <c r="C93" s="114"/>
      <c r="D93" s="115"/>
      <c r="E93" s="116"/>
      <c r="F93" s="117"/>
      <c r="G93" s="117"/>
      <c r="H93" s="117"/>
      <c r="I93" s="117"/>
      <c r="J93" s="117"/>
      <c r="K93" s="11">
        <f t="shared" si="57"/>
        <v>14693700690.152863</v>
      </c>
      <c r="L93" s="11">
        <f t="shared" si="57"/>
        <v>168839757706.686</v>
      </c>
      <c r="M93" s="11">
        <f t="shared" si="57"/>
        <v>24917612467.691074</v>
      </c>
      <c r="N93" s="11">
        <f t="shared" si="57"/>
        <v>7637639045.139602</v>
      </c>
      <c r="O93" s="11">
        <f t="shared" si="57"/>
        <v>303976068.1580649</v>
      </c>
    </row>
    <row r="94" spans="1:15" ht="12.75">
      <c r="A94" s="11" t="s">
        <v>33</v>
      </c>
      <c r="B94" s="113"/>
      <c r="C94" s="114"/>
      <c r="D94" s="115"/>
      <c r="E94" s="116"/>
      <c r="F94" s="117"/>
      <c r="G94" s="117"/>
      <c r="H94" s="117"/>
      <c r="I94" s="117"/>
      <c r="J94" s="117"/>
      <c r="K94" s="11">
        <f t="shared" si="57"/>
        <v>14851515215.833017</v>
      </c>
      <c r="L94" s="11">
        <f t="shared" si="57"/>
        <v>170713836545.34622</v>
      </c>
      <c r="M94" s="11">
        <f t="shared" si="57"/>
        <v>25196378352.683327</v>
      </c>
      <c r="N94" s="11">
        <f t="shared" si="57"/>
        <v>7722765291.662743</v>
      </c>
      <c r="O94" s="11">
        <f t="shared" si="57"/>
        <v>307336395.9821149</v>
      </c>
    </row>
    <row r="95" spans="1:15" ht="12.75">
      <c r="A95" s="11" t="s">
        <v>33</v>
      </c>
      <c r="B95" s="113"/>
      <c r="C95" s="114"/>
      <c r="D95" s="115"/>
      <c r="E95" s="116"/>
      <c r="F95" s="117"/>
      <c r="G95" s="117"/>
      <c r="H95" s="117"/>
      <c r="I95" s="117"/>
      <c r="J95" s="117"/>
      <c r="K95" s="11">
        <f t="shared" si="57"/>
        <v>15009792095.271824</v>
      </c>
      <c r="L95" s="11">
        <f t="shared" si="57"/>
        <v>172591343303.86203</v>
      </c>
      <c r="M95" s="11">
        <f t="shared" si="57"/>
        <v>25475556106.115562</v>
      </c>
      <c r="N95" s="11">
        <f t="shared" si="57"/>
        <v>7808006781.786448</v>
      </c>
      <c r="O95" s="11">
        <f t="shared" si="57"/>
        <v>310695789.9784837</v>
      </c>
    </row>
    <row r="96" spans="1:15" ht="12.75">
      <c r="A96" s="11" t="s">
        <v>33</v>
      </c>
      <c r="B96" s="113"/>
      <c r="C96" s="114"/>
      <c r="D96" s="115"/>
      <c r="E96" s="116"/>
      <c r="F96" s="117"/>
      <c r="G96" s="117"/>
      <c r="H96" s="117"/>
      <c r="I96" s="117"/>
      <c r="J96" s="117"/>
      <c r="K96" s="11">
        <f t="shared" si="57"/>
        <v>15168540288.817303</v>
      </c>
      <c r="L96" s="11">
        <f t="shared" si="57"/>
        <v>174472460969.5725</v>
      </c>
      <c r="M96" s="11">
        <f t="shared" si="57"/>
        <v>25755174833.17419</v>
      </c>
      <c r="N96" s="11">
        <f t="shared" si="57"/>
        <v>7893371386.904268</v>
      </c>
      <c r="O96" s="11">
        <f t="shared" si="57"/>
        <v>314054335.536417</v>
      </c>
    </row>
    <row r="97" spans="1:15" ht="12.75">
      <c r="A97" s="11" t="s">
        <v>33</v>
      </c>
      <c r="B97" s="113"/>
      <c r="C97" s="114"/>
      <c r="D97" s="115"/>
      <c r="E97" s="116"/>
      <c r="F97" s="117"/>
      <c r="G97" s="117"/>
      <c r="H97" s="117"/>
      <c r="I97" s="117"/>
      <c r="J97" s="117"/>
      <c r="K97" s="11">
        <f t="shared" si="57"/>
        <v>15327766199.189026</v>
      </c>
      <c r="L97" s="11">
        <f t="shared" si="57"/>
        <v>176357339813.49698</v>
      </c>
      <c r="M97" s="11">
        <f t="shared" si="57"/>
        <v>26035258608.547073</v>
      </c>
      <c r="N97" s="11">
        <f t="shared" si="57"/>
        <v>7978865388.072619</v>
      </c>
      <c r="O97" s="11">
        <f t="shared" si="57"/>
        <v>317412036.16905946</v>
      </c>
    </row>
    <row r="98" spans="1:15" ht="12.75">
      <c r="A98" s="11" t="s">
        <v>33</v>
      </c>
      <c r="B98" s="113"/>
      <c r="C98" s="114"/>
      <c r="D98" s="115"/>
      <c r="E98" s="116"/>
      <c r="F98" s="117"/>
      <c r="G98" s="117"/>
      <c r="H98" s="117"/>
      <c r="I98" s="117"/>
      <c r="J98" s="117"/>
      <c r="K98" s="11">
        <f t="shared" si="57"/>
        <v>15487473603.583498</v>
      </c>
      <c r="L98" s="11">
        <f t="shared" si="57"/>
        <v>178246096736.61975</v>
      </c>
      <c r="M98" s="11">
        <f t="shared" si="57"/>
        <v>26315826380.91073</v>
      </c>
      <c r="N98" s="11">
        <f t="shared" si="57"/>
        <v>8064493443.189515</v>
      </c>
      <c r="O98" s="11">
        <f t="shared" si="57"/>
        <v>320768811.27220017</v>
      </c>
    </row>
    <row r="99" spans="1:15" ht="12.75">
      <c r="A99" s="11" t="s">
        <v>33</v>
      </c>
      <c r="B99" s="113"/>
      <c r="C99" s="114"/>
      <c r="D99" s="115"/>
      <c r="E99" s="116"/>
      <c r="F99" s="117"/>
      <c r="G99" s="117"/>
      <c r="H99" s="117"/>
      <c r="I99" s="117"/>
      <c r="J99" s="117"/>
      <c r="K99" s="11">
        <f t="shared" si="57"/>
        <v>15647663577.76779</v>
      </c>
      <c r="L99" s="11">
        <f t="shared" si="57"/>
        <v>180138814518.46042</v>
      </c>
      <c r="M99" s="11">
        <f t="shared" si="57"/>
        <v>26596891862.519047</v>
      </c>
      <c r="N99" s="11">
        <f t="shared" si="57"/>
        <v>8150258549.41713</v>
      </c>
      <c r="O99" s="11">
        <f t="shared" si="57"/>
        <v>324124493.6294462</v>
      </c>
    </row>
    <row r="100" spans="1:15" ht="12.75">
      <c r="A100" s="11" t="s">
        <v>33</v>
      </c>
      <c r="B100" s="113"/>
      <c r="C100" s="114"/>
      <c r="D100" s="115"/>
      <c r="E100" s="116"/>
      <c r="F100" s="117"/>
      <c r="G100" s="117"/>
      <c r="H100" s="117"/>
      <c r="I100" s="117"/>
      <c r="J100" s="117"/>
      <c r="K100" s="11">
        <f aca="true" t="shared" si="58" ref="K100:O105">K20+K36+K52+K68+K84</f>
        <v>15650251067.712727</v>
      </c>
      <c r="L100" s="11">
        <f t="shared" si="58"/>
        <v>180215185554.68478</v>
      </c>
      <c r="M100" s="11">
        <f t="shared" si="58"/>
        <v>26609678769.32153</v>
      </c>
      <c r="N100" s="11">
        <f t="shared" si="58"/>
        <v>8153800380.663939</v>
      </c>
      <c r="O100" s="11">
        <f t="shared" si="58"/>
        <v>324204038.38664854</v>
      </c>
    </row>
    <row r="101" spans="1:15" ht="12.75">
      <c r="A101" s="11" t="s">
        <v>33</v>
      </c>
      <c r="B101" s="113"/>
      <c r="C101" s="114"/>
      <c r="D101" s="115"/>
      <c r="E101" s="116"/>
      <c r="F101" s="117"/>
      <c r="G101" s="117"/>
      <c r="H101" s="117"/>
      <c r="I101" s="117"/>
      <c r="J101" s="117"/>
      <c r="K101" s="11">
        <f t="shared" si="58"/>
        <v>15643955983.094687</v>
      </c>
      <c r="L101" s="11">
        <f t="shared" si="58"/>
        <v>180160231726.34747</v>
      </c>
      <c r="M101" s="11">
        <f t="shared" si="58"/>
        <v>26601888378.179443</v>
      </c>
      <c r="N101" s="11">
        <f t="shared" si="58"/>
        <v>8151075320.8074875</v>
      </c>
      <c r="O101" s="11">
        <f t="shared" si="58"/>
        <v>324012812.9251235</v>
      </c>
    </row>
    <row r="102" spans="1:15" ht="12.75">
      <c r="A102" s="11" t="s">
        <v>33</v>
      </c>
      <c r="B102" s="113"/>
      <c r="C102" s="114"/>
      <c r="D102" s="115"/>
      <c r="E102" s="116"/>
      <c r="F102" s="117"/>
      <c r="G102" s="117"/>
      <c r="H102" s="117"/>
      <c r="I102" s="117"/>
      <c r="J102" s="117"/>
      <c r="K102" s="11">
        <f t="shared" si="58"/>
        <v>15637064691.328135</v>
      </c>
      <c r="L102" s="11">
        <f t="shared" si="58"/>
        <v>180098040738.2693</v>
      </c>
      <c r="M102" s="11">
        <f t="shared" si="58"/>
        <v>26592995421.323277</v>
      </c>
      <c r="N102" s="11">
        <f t="shared" si="58"/>
        <v>8147997854.331609</v>
      </c>
      <c r="O102" s="11">
        <f t="shared" si="58"/>
        <v>323802712.6622232</v>
      </c>
    </row>
    <row r="103" spans="1:15" ht="12.75">
      <c r="A103" s="11" t="s">
        <v>33</v>
      </c>
      <c r="B103" s="113"/>
      <c r="C103" s="114"/>
      <c r="D103" s="115"/>
      <c r="E103" s="116"/>
      <c r="F103" s="117"/>
      <c r="G103" s="117"/>
      <c r="H103" s="117"/>
      <c r="I103" s="117"/>
      <c r="J103" s="117"/>
      <c r="K103" s="11">
        <f t="shared" si="58"/>
        <v>15629554724.83691</v>
      </c>
      <c r="L103" s="11">
        <f t="shared" si="58"/>
        <v>180028360469.43127</v>
      </c>
      <c r="M103" s="11">
        <f t="shared" si="58"/>
        <v>26582961988.913124</v>
      </c>
      <c r="N103" s="11">
        <f t="shared" si="58"/>
        <v>8144555592.689795</v>
      </c>
      <c r="O103" s="11">
        <f t="shared" si="58"/>
        <v>323573017.2550988</v>
      </c>
    </row>
    <row r="104" spans="1:15" ht="12.75">
      <c r="A104" s="11" t="s">
        <v>33</v>
      </c>
      <c r="B104" s="113"/>
      <c r="C104" s="114"/>
      <c r="D104" s="115"/>
      <c r="E104" s="116"/>
      <c r="F104" s="117"/>
      <c r="G104" s="117"/>
      <c r="H104" s="117"/>
      <c r="I104" s="117"/>
      <c r="J104" s="117"/>
      <c r="K104" s="11">
        <f t="shared" si="58"/>
        <v>15621402348.547077</v>
      </c>
      <c r="L104" s="11">
        <f t="shared" si="58"/>
        <v>179950924027.15207</v>
      </c>
      <c r="M104" s="11">
        <f t="shared" si="58"/>
        <v>26571747935.592484</v>
      </c>
      <c r="N104" s="11">
        <f t="shared" si="58"/>
        <v>8140735424.719806</v>
      </c>
      <c r="O104" s="11">
        <f t="shared" si="58"/>
        <v>323322965.9660066</v>
      </c>
    </row>
    <row r="105" spans="1:15" ht="13.5" thickBot="1">
      <c r="A105" s="11" t="s">
        <v>33</v>
      </c>
      <c r="B105" s="113"/>
      <c r="C105" s="114"/>
      <c r="D105" s="115"/>
      <c r="E105" s="116"/>
      <c r="F105" s="117"/>
      <c r="G105" s="117"/>
      <c r="H105" s="117"/>
      <c r="I105" s="117"/>
      <c r="J105" s="117"/>
      <c r="K105" s="11">
        <f t="shared" si="58"/>
        <v>15612582499.58902</v>
      </c>
      <c r="L105" s="11">
        <f t="shared" si="58"/>
        <v>179865449054.11218</v>
      </c>
      <c r="M105" s="11">
        <f t="shared" si="58"/>
        <v>26559310775.860996</v>
      </c>
      <c r="N105" s="11">
        <f t="shared" si="58"/>
        <v>8136523482.688794</v>
      </c>
      <c r="O105" s="11">
        <f t="shared" si="58"/>
        <v>323051755.7363082</v>
      </c>
    </row>
    <row r="106" spans="1:15" ht="12.75">
      <c r="A106" s="1" t="s">
        <v>32</v>
      </c>
      <c r="B106" s="118"/>
      <c r="C106" s="119"/>
      <c r="D106" s="120"/>
      <c r="E106" s="121"/>
      <c r="F106" s="121"/>
      <c r="G106" s="121"/>
      <c r="H106" s="121"/>
      <c r="I106" s="121"/>
      <c r="J106" s="121"/>
      <c r="K106" s="122">
        <f aca="true" t="shared" si="59" ref="K106:O119">K90/1000000</f>
        <v>14222.90448</v>
      </c>
      <c r="L106" s="122">
        <f t="shared" si="59"/>
        <v>163235.7792</v>
      </c>
      <c r="M106" s="122">
        <f t="shared" si="59"/>
        <v>24083.42112</v>
      </c>
      <c r="N106" s="122">
        <f t="shared" si="59"/>
        <v>7382.84976</v>
      </c>
      <c r="O106" s="123">
        <f t="shared" si="59"/>
        <v>293.88744</v>
      </c>
    </row>
    <row r="107" spans="1:15" ht="12.75">
      <c r="A107" s="4" t="s">
        <v>32</v>
      </c>
      <c r="B107" s="113"/>
      <c r="C107" s="124"/>
      <c r="D107" s="125"/>
      <c r="E107" s="116"/>
      <c r="F107" s="116"/>
      <c r="G107" s="116"/>
      <c r="H107" s="116"/>
      <c r="I107" s="116"/>
      <c r="J107" s="116"/>
      <c r="K107" s="18">
        <f t="shared" si="59"/>
        <v>14379.410424239999</v>
      </c>
      <c r="L107" s="18">
        <f t="shared" si="59"/>
        <v>165100.99152240003</v>
      </c>
      <c r="M107" s="18">
        <f t="shared" si="59"/>
        <v>24361.17520248</v>
      </c>
      <c r="N107" s="18">
        <f t="shared" si="59"/>
        <v>7467.6930105599995</v>
      </c>
      <c r="O107" s="126">
        <f t="shared" si="59"/>
        <v>297.25187184</v>
      </c>
    </row>
    <row r="108" spans="1:15" ht="12.75">
      <c r="A108" s="4" t="s">
        <v>32</v>
      </c>
      <c r="B108" s="113"/>
      <c r="C108" s="124"/>
      <c r="D108" s="125"/>
      <c r="E108" s="116"/>
      <c r="F108" s="116"/>
      <c r="G108" s="116"/>
      <c r="H108" s="116"/>
      <c r="I108" s="116"/>
      <c r="J108" s="116"/>
      <c r="K108" s="18">
        <f t="shared" si="59"/>
        <v>14536.337060443318</v>
      </c>
      <c r="L108" s="18">
        <f t="shared" si="59"/>
        <v>166968.8916435252</v>
      </c>
      <c r="M108" s="18">
        <f t="shared" si="59"/>
        <v>24639.224396561636</v>
      </c>
      <c r="N108" s="18">
        <f t="shared" si="59"/>
        <v>7552.61860871448</v>
      </c>
      <c r="O108" s="126">
        <f t="shared" si="59"/>
        <v>300.61464123852</v>
      </c>
    </row>
    <row r="109" spans="1:15" ht="12.75">
      <c r="A109" s="4" t="s">
        <v>32</v>
      </c>
      <c r="B109" s="113"/>
      <c r="C109" s="124"/>
      <c r="D109" s="125"/>
      <c r="E109" s="116"/>
      <c r="F109" s="116"/>
      <c r="G109" s="116"/>
      <c r="H109" s="116"/>
      <c r="I109" s="116"/>
      <c r="J109" s="116"/>
      <c r="K109" s="18">
        <f t="shared" si="59"/>
        <v>14693.700690152862</v>
      </c>
      <c r="L109" s="18">
        <f t="shared" si="59"/>
        <v>168839.757706686</v>
      </c>
      <c r="M109" s="18">
        <f t="shared" si="59"/>
        <v>24917.612467691073</v>
      </c>
      <c r="N109" s="18">
        <f t="shared" si="59"/>
        <v>7637.639045139602</v>
      </c>
      <c r="O109" s="126">
        <f t="shared" si="59"/>
        <v>303.9760681580649</v>
      </c>
    </row>
    <row r="110" spans="1:15" ht="12.75">
      <c r="A110" s="4" t="s">
        <v>32</v>
      </c>
      <c r="B110" s="113"/>
      <c r="C110" s="124"/>
      <c r="D110" s="125"/>
      <c r="E110" s="116"/>
      <c r="F110" s="116"/>
      <c r="G110" s="116"/>
      <c r="H110" s="116"/>
      <c r="I110" s="116"/>
      <c r="J110" s="116"/>
      <c r="K110" s="18">
        <f t="shared" si="59"/>
        <v>14851.515215833017</v>
      </c>
      <c r="L110" s="18">
        <f t="shared" si="59"/>
        <v>170713.83654534622</v>
      </c>
      <c r="M110" s="18">
        <f t="shared" si="59"/>
        <v>25196.378352683325</v>
      </c>
      <c r="N110" s="18">
        <f t="shared" si="59"/>
        <v>7722.765291662743</v>
      </c>
      <c r="O110" s="126">
        <f t="shared" si="59"/>
        <v>307.33639598211494</v>
      </c>
    </row>
    <row r="111" spans="1:15" ht="12.75">
      <c r="A111" s="4" t="s">
        <v>32</v>
      </c>
      <c r="B111" s="113"/>
      <c r="C111" s="124"/>
      <c r="D111" s="125"/>
      <c r="E111" s="116"/>
      <c r="F111" s="116"/>
      <c r="G111" s="116"/>
      <c r="H111" s="116"/>
      <c r="I111" s="116"/>
      <c r="J111" s="116"/>
      <c r="K111" s="18">
        <f t="shared" si="59"/>
        <v>15009.792095271823</v>
      </c>
      <c r="L111" s="18">
        <f t="shared" si="59"/>
        <v>172591.34330386203</v>
      </c>
      <c r="M111" s="18">
        <f t="shared" si="59"/>
        <v>25475.556106115564</v>
      </c>
      <c r="N111" s="18">
        <f t="shared" si="59"/>
        <v>7808.006781786447</v>
      </c>
      <c r="O111" s="126">
        <f t="shared" si="59"/>
        <v>310.6957899784837</v>
      </c>
    </row>
    <row r="112" spans="1:15" ht="12.75">
      <c r="A112" s="4" t="s">
        <v>32</v>
      </c>
      <c r="B112" s="113"/>
      <c r="C112" s="124"/>
      <c r="D112" s="125"/>
      <c r="E112" s="116"/>
      <c r="F112" s="116"/>
      <c r="G112" s="116"/>
      <c r="H112" s="116"/>
      <c r="I112" s="116"/>
      <c r="J112" s="116"/>
      <c r="K112" s="18">
        <f t="shared" si="59"/>
        <v>15168.540288817303</v>
      </c>
      <c r="L112" s="18">
        <f t="shared" si="59"/>
        <v>174472.4609695725</v>
      </c>
      <c r="M112" s="18">
        <f t="shared" si="59"/>
        <v>25755.17483317419</v>
      </c>
      <c r="N112" s="18">
        <f t="shared" si="59"/>
        <v>7893.371386904269</v>
      </c>
      <c r="O112" s="126">
        <f t="shared" si="59"/>
        <v>314.054335536417</v>
      </c>
    </row>
    <row r="113" spans="1:15" ht="12.75">
      <c r="A113" s="4" t="s">
        <v>32</v>
      </c>
      <c r="B113" s="113"/>
      <c r="C113" s="124"/>
      <c r="D113" s="125"/>
      <c r="E113" s="116"/>
      <c r="F113" s="116"/>
      <c r="G113" s="116"/>
      <c r="H113" s="116"/>
      <c r="I113" s="116"/>
      <c r="J113" s="116"/>
      <c r="K113" s="18">
        <f t="shared" si="59"/>
        <v>15327.766199189025</v>
      </c>
      <c r="L113" s="18">
        <f t="shared" si="59"/>
        <v>176357.33981349698</v>
      </c>
      <c r="M113" s="18">
        <f t="shared" si="59"/>
        <v>26035.258608547072</v>
      </c>
      <c r="N113" s="18">
        <f t="shared" si="59"/>
        <v>7978.86538807262</v>
      </c>
      <c r="O113" s="126">
        <f t="shared" si="59"/>
        <v>317.41203616905943</v>
      </c>
    </row>
    <row r="114" spans="1:15" ht="12.75">
      <c r="A114" s="4" t="s">
        <v>32</v>
      </c>
      <c r="B114" s="113"/>
      <c r="C114" s="124"/>
      <c r="D114" s="125"/>
      <c r="E114" s="116"/>
      <c r="F114" s="116"/>
      <c r="G114" s="116"/>
      <c r="H114" s="116"/>
      <c r="I114" s="116"/>
      <c r="J114" s="116"/>
      <c r="K114" s="18">
        <f t="shared" si="59"/>
        <v>15487.473603583498</v>
      </c>
      <c r="L114" s="18">
        <f t="shared" si="59"/>
        <v>178246.09673661974</v>
      </c>
      <c r="M114" s="18">
        <f t="shared" si="59"/>
        <v>26315.82638091073</v>
      </c>
      <c r="N114" s="18">
        <f t="shared" si="59"/>
        <v>8064.493443189515</v>
      </c>
      <c r="O114" s="126">
        <f t="shared" si="59"/>
        <v>320.76881127220014</v>
      </c>
    </row>
    <row r="115" spans="1:15" ht="12.75">
      <c r="A115" s="4" t="s">
        <v>32</v>
      </c>
      <c r="B115" s="113"/>
      <c r="C115" s="124"/>
      <c r="D115" s="125"/>
      <c r="E115" s="116"/>
      <c r="F115" s="116"/>
      <c r="G115" s="116"/>
      <c r="H115" s="116"/>
      <c r="I115" s="116"/>
      <c r="J115" s="116"/>
      <c r="K115" s="18">
        <f t="shared" si="59"/>
        <v>15647.66357776779</v>
      </c>
      <c r="L115" s="18">
        <f t="shared" si="59"/>
        <v>180138.81451846042</v>
      </c>
      <c r="M115" s="18">
        <f t="shared" si="59"/>
        <v>26596.891862519045</v>
      </c>
      <c r="N115" s="18">
        <f t="shared" si="59"/>
        <v>8150.258549417131</v>
      </c>
      <c r="O115" s="126">
        <f t="shared" si="59"/>
        <v>324.1244936294462</v>
      </c>
    </row>
    <row r="116" spans="1:15" ht="12.75">
      <c r="A116" s="4" t="s">
        <v>32</v>
      </c>
      <c r="B116" s="113"/>
      <c r="C116" s="124"/>
      <c r="D116" s="125"/>
      <c r="E116" s="116"/>
      <c r="F116" s="116"/>
      <c r="G116" s="116"/>
      <c r="H116" s="116"/>
      <c r="I116" s="116"/>
      <c r="J116" s="116"/>
      <c r="K116" s="18">
        <f t="shared" si="59"/>
        <v>15650.251067712727</v>
      </c>
      <c r="L116" s="18">
        <f t="shared" si="59"/>
        <v>180215.18555468478</v>
      </c>
      <c r="M116" s="18">
        <f t="shared" si="59"/>
        <v>26609.67876932153</v>
      </c>
      <c r="N116" s="18">
        <f t="shared" si="59"/>
        <v>8153.80038066394</v>
      </c>
      <c r="O116" s="126">
        <f t="shared" si="59"/>
        <v>324.20403838664856</v>
      </c>
    </row>
    <row r="117" spans="1:15" ht="12.75">
      <c r="A117" s="4" t="s">
        <v>32</v>
      </c>
      <c r="B117" s="113"/>
      <c r="C117" s="124"/>
      <c r="D117" s="125"/>
      <c r="E117" s="116"/>
      <c r="F117" s="116"/>
      <c r="G117" s="116"/>
      <c r="H117" s="116"/>
      <c r="I117" s="116"/>
      <c r="J117" s="116"/>
      <c r="K117" s="18">
        <f t="shared" si="59"/>
        <v>15643.955983094687</v>
      </c>
      <c r="L117" s="18">
        <f t="shared" si="59"/>
        <v>180160.23172634747</v>
      </c>
      <c r="M117" s="18">
        <f t="shared" si="59"/>
        <v>26601.888378179443</v>
      </c>
      <c r="N117" s="18">
        <f t="shared" si="59"/>
        <v>8151.0753208074875</v>
      </c>
      <c r="O117" s="126">
        <f t="shared" si="59"/>
        <v>324.0128129251235</v>
      </c>
    </row>
    <row r="118" spans="1:15" ht="12.75">
      <c r="A118" s="4" t="s">
        <v>32</v>
      </c>
      <c r="B118" s="113"/>
      <c r="C118" s="124"/>
      <c r="D118" s="125"/>
      <c r="E118" s="116"/>
      <c r="F118" s="116"/>
      <c r="G118" s="116"/>
      <c r="H118" s="116"/>
      <c r="I118" s="116"/>
      <c r="J118" s="116"/>
      <c r="K118" s="18">
        <f t="shared" si="59"/>
        <v>15637.064691328134</v>
      </c>
      <c r="L118" s="18">
        <f t="shared" si="59"/>
        <v>180098.04073826928</v>
      </c>
      <c r="M118" s="18">
        <f t="shared" si="59"/>
        <v>26592.995421323278</v>
      </c>
      <c r="N118" s="18">
        <f t="shared" si="59"/>
        <v>8147.997854331608</v>
      </c>
      <c r="O118" s="126">
        <f t="shared" si="59"/>
        <v>323.8027126622232</v>
      </c>
    </row>
    <row r="119" spans="1:15" ht="12.75">
      <c r="A119" s="4" t="s">
        <v>32</v>
      </c>
      <c r="B119" s="113"/>
      <c r="C119" s="124"/>
      <c r="D119" s="125"/>
      <c r="E119" s="116"/>
      <c r="F119" s="116"/>
      <c r="G119" s="116"/>
      <c r="H119" s="116"/>
      <c r="I119" s="116"/>
      <c r="J119" s="116"/>
      <c r="K119" s="18">
        <f t="shared" si="59"/>
        <v>15629.55472483691</v>
      </c>
      <c r="L119" s="18">
        <f t="shared" si="59"/>
        <v>180028.36046943127</v>
      </c>
      <c r="M119" s="18">
        <f t="shared" si="59"/>
        <v>26582.961988913125</v>
      </c>
      <c r="N119" s="18">
        <f t="shared" si="59"/>
        <v>8144.555592689794</v>
      </c>
      <c r="O119" s="126">
        <f t="shared" si="59"/>
        <v>323.5730172550988</v>
      </c>
    </row>
    <row r="120" spans="1:15" ht="12.75">
      <c r="A120" s="4" t="s">
        <v>32</v>
      </c>
      <c r="B120" s="113"/>
      <c r="C120" s="124"/>
      <c r="D120" s="125"/>
      <c r="E120" s="116"/>
      <c r="F120" s="116"/>
      <c r="G120" s="116"/>
      <c r="H120" s="116"/>
      <c r="I120" s="116"/>
      <c r="J120" s="116"/>
      <c r="K120" s="18">
        <f aca="true" t="shared" si="60" ref="K120:O121">K104/1000000</f>
        <v>15621.402348547077</v>
      </c>
      <c r="L120" s="18">
        <f t="shared" si="60"/>
        <v>179950.92402715207</v>
      </c>
      <c r="M120" s="18">
        <f t="shared" si="60"/>
        <v>26571.747935592484</v>
      </c>
      <c r="N120" s="18">
        <f t="shared" si="60"/>
        <v>8140.735424719805</v>
      </c>
      <c r="O120" s="126">
        <f t="shared" si="60"/>
        <v>323.32296596600656</v>
      </c>
    </row>
    <row r="121" spans="1:15" ht="13.5" thickBot="1">
      <c r="A121" s="12" t="s">
        <v>32</v>
      </c>
      <c r="B121" s="127"/>
      <c r="C121" s="128"/>
      <c r="D121" s="129"/>
      <c r="E121" s="130"/>
      <c r="F121" s="130"/>
      <c r="G121" s="130"/>
      <c r="H121" s="130"/>
      <c r="I121" s="130"/>
      <c r="J121" s="130"/>
      <c r="K121" s="131">
        <f t="shared" si="60"/>
        <v>15612.58249958902</v>
      </c>
      <c r="L121" s="131">
        <f t="shared" si="60"/>
        <v>179865.4490541122</v>
      </c>
      <c r="M121" s="131">
        <f t="shared" si="60"/>
        <v>26559.310775860995</v>
      </c>
      <c r="N121" s="131">
        <f t="shared" si="60"/>
        <v>8136.5234826887945</v>
      </c>
      <c r="O121" s="132">
        <f t="shared" si="60"/>
        <v>323.0517557363082</v>
      </c>
    </row>
  </sheetData>
  <mergeCells count="1">
    <mergeCell ref="F8:J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9"/>
  <sheetViews>
    <sheetView workbookViewId="0" topLeftCell="A1">
      <selection activeCell="G18" sqref="G18"/>
    </sheetView>
  </sheetViews>
  <sheetFormatPr defaultColWidth="9.140625" defaultRowHeight="12.75"/>
  <cols>
    <col min="3" max="7" width="10.140625" style="0" customWidth="1"/>
    <col min="8" max="8" width="4.28125" style="0" customWidth="1"/>
    <col min="9" max="9" width="11.00390625" style="0" customWidth="1"/>
    <col min="10" max="14" width="5.28125" style="0" customWidth="1"/>
    <col min="15" max="15" width="3.8515625" style="0" customWidth="1"/>
    <col min="17" max="22" width="10.8515625" style="0" customWidth="1"/>
  </cols>
  <sheetData>
    <row r="1" ht="13.5" thickBot="1"/>
    <row r="2" spans="2:22" ht="12.75">
      <c r="B2" s="1"/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I2" s="1"/>
      <c r="J2" s="2" t="s">
        <v>4</v>
      </c>
      <c r="K2" s="2" t="s">
        <v>5</v>
      </c>
      <c r="L2" s="2" t="s">
        <v>6</v>
      </c>
      <c r="M2" s="2" t="s">
        <v>7</v>
      </c>
      <c r="N2" s="3" t="s">
        <v>8</v>
      </c>
      <c r="P2" s="1"/>
      <c r="Q2" s="2" t="s">
        <v>4</v>
      </c>
      <c r="R2" s="2" t="s">
        <v>5</v>
      </c>
      <c r="S2" s="2" t="s">
        <v>6</v>
      </c>
      <c r="T2" s="2" t="s">
        <v>7</v>
      </c>
      <c r="U2" s="3" t="s">
        <v>8</v>
      </c>
      <c r="V2" s="11" t="s">
        <v>90</v>
      </c>
    </row>
    <row r="3" spans="2:22" ht="12.75">
      <c r="B3" s="52">
        <v>2005</v>
      </c>
      <c r="C3" s="53">
        <f>Freight_Rearranged!K106+Passenger_Rearranged!M103</f>
        <v>86499.60096516045</v>
      </c>
      <c r="D3" s="53">
        <f>Freight_Rearranged!L106+Passenger_Rearranged!N103</f>
        <v>961600.329250176</v>
      </c>
      <c r="E3" s="53">
        <f>Freight_Rearranged!M106+Passenger_Rearranged!O103</f>
        <v>79200.12476419413</v>
      </c>
      <c r="F3" s="53">
        <f>Freight_Rearranged!N106+Passenger_Rearranged!P103</f>
        <v>12146.875362669938</v>
      </c>
      <c r="G3" s="54">
        <f>Freight_Rearranged!O106+Passenger_Rearranged!Q103</f>
        <v>4389.1549494107885</v>
      </c>
      <c r="I3" s="52">
        <v>2005</v>
      </c>
      <c r="J3" s="53">
        <f>IF(C3&gt;C$20,1,0)</f>
        <v>0</v>
      </c>
      <c r="K3" s="53">
        <f aca="true" t="shared" si="0" ref="K3:N6">IF(D3&gt;D$20,1,0)</f>
        <v>0</v>
      </c>
      <c r="L3" s="53">
        <f t="shared" si="0"/>
        <v>0</v>
      </c>
      <c r="M3" s="53">
        <f t="shared" si="0"/>
        <v>0</v>
      </c>
      <c r="N3" s="54">
        <f t="shared" si="0"/>
        <v>0</v>
      </c>
      <c r="P3" s="52">
        <v>2005</v>
      </c>
      <c r="Q3" s="53">
        <f aca="true" t="shared" si="1" ref="Q3:Q18">J3*C$29</f>
        <v>0</v>
      </c>
      <c r="R3" s="53">
        <f aca="true" t="shared" si="2" ref="R3:R18">K3*D$29</f>
        <v>0</v>
      </c>
      <c r="S3" s="53">
        <f aca="true" t="shared" si="3" ref="S3:S18">L3*E$29</f>
        <v>0</v>
      </c>
      <c r="T3" s="53">
        <f aca="true" t="shared" si="4" ref="T3:T18">M3*F$29</f>
        <v>0</v>
      </c>
      <c r="U3" s="54">
        <f aca="true" t="shared" si="5" ref="U3:U18">N3*G$29</f>
        <v>0</v>
      </c>
      <c r="V3" s="16">
        <f>SUM(Q3:U3)</f>
        <v>0</v>
      </c>
    </row>
    <row r="4" spans="2:22" ht="12.75">
      <c r="B4" s="52">
        <v>2006</v>
      </c>
      <c r="C4" s="53">
        <f>Freight_Rearranged!K107+Passenger_Rearranged!M104</f>
        <v>87320.0683890555</v>
      </c>
      <c r="D4" s="53">
        <f>Freight_Rearranged!L107+Passenger_Rearranged!N104</f>
        <v>980451.8017704625</v>
      </c>
      <c r="E4" s="53">
        <f>Freight_Rearranged!M107+Passenger_Rearranged!O104</f>
        <v>78005.88443101429</v>
      </c>
      <c r="F4" s="53">
        <f>Freight_Rearranged!N107+Passenger_Rearranged!P104</f>
        <v>12099.860448897492</v>
      </c>
      <c r="G4" s="54">
        <f>Freight_Rearranged!O107+Passenger_Rearranged!Q104</f>
        <v>4482.02752419803</v>
      </c>
      <c r="I4" s="52">
        <v>2006</v>
      </c>
      <c r="J4" s="53">
        <f>IF(C4&gt;C$20,1,0)</f>
        <v>0</v>
      </c>
      <c r="K4" s="53">
        <f t="shared" si="0"/>
        <v>0</v>
      </c>
      <c r="L4" s="53">
        <f t="shared" si="0"/>
        <v>0</v>
      </c>
      <c r="M4" s="53">
        <f t="shared" si="0"/>
        <v>0</v>
      </c>
      <c r="N4" s="54">
        <f t="shared" si="0"/>
        <v>0</v>
      </c>
      <c r="P4" s="52">
        <v>2006</v>
      </c>
      <c r="Q4" s="53">
        <f t="shared" si="1"/>
        <v>0</v>
      </c>
      <c r="R4" s="53">
        <f t="shared" si="2"/>
        <v>0</v>
      </c>
      <c r="S4" s="53">
        <f t="shared" si="3"/>
        <v>0</v>
      </c>
      <c r="T4" s="53">
        <f t="shared" si="4"/>
        <v>0</v>
      </c>
      <c r="U4" s="54">
        <f t="shared" si="5"/>
        <v>0</v>
      </c>
      <c r="V4" s="16">
        <f aca="true" t="shared" si="6" ref="V4:V18">SUM(Q4:U4)</f>
        <v>0</v>
      </c>
    </row>
    <row r="5" spans="2:22" ht="12.75">
      <c r="B5" s="52">
        <v>2007</v>
      </c>
      <c r="C5" s="53">
        <f>Freight_Rearranged!K108+Passenger_Rearranged!M105</f>
        <v>87024.17216711976</v>
      </c>
      <c r="D5" s="53">
        <f>Freight_Rearranged!L108+Passenger_Rearranged!N105</f>
        <v>986260.0585488031</v>
      </c>
      <c r="E5" s="53">
        <f>Freight_Rearranged!M108+Passenger_Rearranged!O105</f>
        <v>75739.43412217888</v>
      </c>
      <c r="F5" s="53">
        <f>Freight_Rearranged!N108+Passenger_Rearranged!P105</f>
        <v>11940.296731532642</v>
      </c>
      <c r="G5" s="54">
        <f>Freight_Rearranged!O108+Passenger_Rearranged!Q105</f>
        <v>4474.735639932659</v>
      </c>
      <c r="I5" s="52">
        <v>2007</v>
      </c>
      <c r="J5" s="53">
        <f>IF(C5&gt;C$20,1,0)</f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4">
        <f t="shared" si="0"/>
        <v>0</v>
      </c>
      <c r="P5" s="52">
        <v>2007</v>
      </c>
      <c r="Q5" s="53">
        <f t="shared" si="1"/>
        <v>0</v>
      </c>
      <c r="R5" s="53">
        <f t="shared" si="2"/>
        <v>0</v>
      </c>
      <c r="S5" s="53">
        <f t="shared" si="3"/>
        <v>0</v>
      </c>
      <c r="T5" s="53">
        <f t="shared" si="4"/>
        <v>0</v>
      </c>
      <c r="U5" s="54">
        <f t="shared" si="5"/>
        <v>0</v>
      </c>
      <c r="V5" s="16">
        <f t="shared" si="6"/>
        <v>0</v>
      </c>
    </row>
    <row r="6" spans="2:22" ht="12.75">
      <c r="B6" s="52">
        <v>2008</v>
      </c>
      <c r="C6" s="53">
        <f>Freight_Rearranged!K109+Passenger_Rearranged!M106</f>
        <v>85386.94508071622</v>
      </c>
      <c r="D6" s="53">
        <f>Freight_Rearranged!L109+Passenger_Rearranged!N106</f>
        <v>976165.8646582109</v>
      </c>
      <c r="E6" s="53">
        <f>Freight_Rearranged!M109+Passenger_Rearranged!O106</f>
        <v>72716.05293564184</v>
      </c>
      <c r="F6" s="53">
        <f>Freight_Rearranged!N109+Passenger_Rearranged!P106</f>
        <v>11719.459937046468</v>
      </c>
      <c r="G6" s="54">
        <f>Freight_Rearranged!O109+Passenger_Rearranged!Q106</f>
        <v>4390.049676088057</v>
      </c>
      <c r="I6" s="52">
        <v>2008</v>
      </c>
      <c r="J6" s="53">
        <f>IF(C6&gt;C$20,1,0)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4">
        <f t="shared" si="0"/>
        <v>0</v>
      </c>
      <c r="P6" s="52">
        <v>2008</v>
      </c>
      <c r="Q6" s="53">
        <f t="shared" si="1"/>
        <v>0</v>
      </c>
      <c r="R6" s="53">
        <f t="shared" si="2"/>
        <v>0</v>
      </c>
      <c r="S6" s="53">
        <f t="shared" si="3"/>
        <v>0</v>
      </c>
      <c r="T6" s="53">
        <f t="shared" si="4"/>
        <v>0</v>
      </c>
      <c r="U6" s="54">
        <f t="shared" si="5"/>
        <v>0</v>
      </c>
      <c r="V6" s="16">
        <f t="shared" si="6"/>
        <v>0</v>
      </c>
    </row>
    <row r="7" spans="2:22" ht="12.75">
      <c r="B7" s="55">
        <v>2009</v>
      </c>
      <c r="C7" s="56">
        <f>Freight_Rearranged!K110+Passenger_Rearranged!M107</f>
        <v>85293.21651238094</v>
      </c>
      <c r="D7" s="56">
        <f>Freight_Rearranged!L110+Passenger_Rearranged!N107</f>
        <v>983001.139618481</v>
      </c>
      <c r="E7" s="56">
        <f>Freight_Rearranged!M110+Passenger_Rearranged!O107</f>
        <v>70912.94573605222</v>
      </c>
      <c r="F7" s="56">
        <f>Freight_Rearranged!N110+Passenger_Rearranged!P107</f>
        <v>11606.320179863795</v>
      </c>
      <c r="G7" s="57">
        <f>Freight_Rearranged!O110+Passenger_Rearranged!Q107</f>
        <v>4394.341296277544</v>
      </c>
      <c r="I7" s="55">
        <v>2009</v>
      </c>
      <c r="J7" s="56">
        <f aca="true" t="shared" si="7" ref="J7:N10">IF(C7&gt;C$22,1,0)</f>
        <v>0</v>
      </c>
      <c r="K7" s="56">
        <f t="shared" si="7"/>
        <v>0</v>
      </c>
      <c r="L7" s="56">
        <f t="shared" si="7"/>
        <v>0</v>
      </c>
      <c r="M7" s="56">
        <f t="shared" si="7"/>
        <v>0</v>
      </c>
      <c r="N7" s="57">
        <f t="shared" si="7"/>
        <v>0</v>
      </c>
      <c r="P7" s="55">
        <v>2009</v>
      </c>
      <c r="Q7" s="56">
        <f t="shared" si="1"/>
        <v>0</v>
      </c>
      <c r="R7" s="56">
        <f t="shared" si="2"/>
        <v>0</v>
      </c>
      <c r="S7" s="56">
        <f t="shared" si="3"/>
        <v>0</v>
      </c>
      <c r="T7" s="56">
        <f t="shared" si="4"/>
        <v>0</v>
      </c>
      <c r="U7" s="57">
        <f t="shared" si="5"/>
        <v>0</v>
      </c>
      <c r="V7" s="16">
        <f t="shared" si="6"/>
        <v>0</v>
      </c>
    </row>
    <row r="8" spans="2:22" ht="12.75">
      <c r="B8" s="55">
        <v>2010</v>
      </c>
      <c r="C8" s="56">
        <f>Freight_Rearranged!K111+Passenger_Rearranged!M108</f>
        <v>84585.17876641572</v>
      </c>
      <c r="D8" s="56">
        <f>Freight_Rearranged!L111+Passenger_Rearranged!N108</f>
        <v>982184.1998848704</v>
      </c>
      <c r="E8" s="56">
        <f>Freight_Rearranged!M111+Passenger_Rearranged!O108</f>
        <v>68855.2230924046</v>
      </c>
      <c r="F8" s="56">
        <f>Freight_Rearranged!N111+Passenger_Rearranged!P108</f>
        <v>11474.565065592362</v>
      </c>
      <c r="G8" s="57">
        <f>Freight_Rearranged!O111+Passenger_Rearranged!Q108</f>
        <v>4362.8404999269</v>
      </c>
      <c r="I8" s="55">
        <v>2010</v>
      </c>
      <c r="J8" s="56">
        <f t="shared" si="7"/>
        <v>0</v>
      </c>
      <c r="K8" s="56">
        <f t="shared" si="7"/>
        <v>0</v>
      </c>
      <c r="L8" s="56">
        <f t="shared" si="7"/>
        <v>0</v>
      </c>
      <c r="M8" s="56">
        <f t="shared" si="7"/>
        <v>0</v>
      </c>
      <c r="N8" s="57">
        <f t="shared" si="7"/>
        <v>0</v>
      </c>
      <c r="P8" s="55">
        <v>2010</v>
      </c>
      <c r="Q8" s="56">
        <f t="shared" si="1"/>
        <v>0</v>
      </c>
      <c r="R8" s="56">
        <f t="shared" si="2"/>
        <v>0</v>
      </c>
      <c r="S8" s="56">
        <f t="shared" si="3"/>
        <v>0</v>
      </c>
      <c r="T8" s="56">
        <f t="shared" si="4"/>
        <v>0</v>
      </c>
      <c r="U8" s="57">
        <f t="shared" si="5"/>
        <v>0</v>
      </c>
      <c r="V8" s="16">
        <f t="shared" si="6"/>
        <v>0</v>
      </c>
    </row>
    <row r="9" spans="2:22" ht="12.75">
      <c r="B9" s="55">
        <v>2011</v>
      </c>
      <c r="C9" s="56">
        <f>Freight_Rearranged!K112+Passenger_Rearranged!M109</f>
        <v>84373.01073563128</v>
      </c>
      <c r="D9" s="56">
        <f>Freight_Rearranged!L112+Passenger_Rearranged!N109</f>
        <v>988213.3951067362</v>
      </c>
      <c r="E9" s="56">
        <f>Freight_Rearranged!M112+Passenger_Rearranged!O109</f>
        <v>67375.43279615937</v>
      </c>
      <c r="F9" s="56">
        <f>Freight_Rearranged!N112+Passenger_Rearranged!P109</f>
        <v>11433.776323938491</v>
      </c>
      <c r="G9" s="57">
        <f>Freight_Rearranged!O112+Passenger_Rearranged!Q109</f>
        <v>4416.915328707283</v>
      </c>
      <c r="I9" s="55">
        <v>2011</v>
      </c>
      <c r="J9" s="56">
        <f t="shared" si="7"/>
        <v>0</v>
      </c>
      <c r="K9" s="56">
        <f t="shared" si="7"/>
        <v>0</v>
      </c>
      <c r="L9" s="56">
        <f t="shared" si="7"/>
        <v>0</v>
      </c>
      <c r="M9" s="56">
        <f t="shared" si="7"/>
        <v>0</v>
      </c>
      <c r="N9" s="57">
        <f t="shared" si="7"/>
        <v>0</v>
      </c>
      <c r="P9" s="55">
        <v>2011</v>
      </c>
      <c r="Q9" s="56">
        <f t="shared" si="1"/>
        <v>0</v>
      </c>
      <c r="R9" s="56">
        <f t="shared" si="2"/>
        <v>0</v>
      </c>
      <c r="S9" s="56">
        <f t="shared" si="3"/>
        <v>0</v>
      </c>
      <c r="T9" s="56">
        <f t="shared" si="4"/>
        <v>0</v>
      </c>
      <c r="U9" s="57">
        <f t="shared" si="5"/>
        <v>0</v>
      </c>
      <c r="V9" s="16">
        <f t="shared" si="6"/>
        <v>0</v>
      </c>
    </row>
    <row r="10" spans="2:22" ht="12.75">
      <c r="B10" s="55">
        <v>2012</v>
      </c>
      <c r="C10" s="56">
        <f>Freight_Rearranged!K113+Passenger_Rearranged!M110</f>
        <v>83175.10858515267</v>
      </c>
      <c r="D10" s="56">
        <f>Freight_Rearranged!L113+Passenger_Rearranged!N110</f>
        <v>981411.5736495017</v>
      </c>
      <c r="E10" s="56">
        <f>Freight_Rearranged!M113+Passenger_Rearranged!O110</f>
        <v>65194.21847975337</v>
      </c>
      <c r="F10" s="56">
        <f>Freight_Rearranged!N113+Passenger_Rearranged!P110</f>
        <v>11311.844170361215</v>
      </c>
      <c r="G10" s="57">
        <f>Freight_Rearranged!O113+Passenger_Rearranged!Q110</f>
        <v>4372.256740623996</v>
      </c>
      <c r="I10" s="55">
        <v>2012</v>
      </c>
      <c r="J10" s="56">
        <f t="shared" si="7"/>
        <v>0</v>
      </c>
      <c r="K10" s="56">
        <f t="shared" si="7"/>
        <v>0</v>
      </c>
      <c r="L10" s="56">
        <f t="shared" si="7"/>
        <v>0</v>
      </c>
      <c r="M10" s="56">
        <f t="shared" si="7"/>
        <v>0</v>
      </c>
      <c r="N10" s="57">
        <f t="shared" si="7"/>
        <v>0</v>
      </c>
      <c r="P10" s="55">
        <v>2012</v>
      </c>
      <c r="Q10" s="56">
        <f t="shared" si="1"/>
        <v>0</v>
      </c>
      <c r="R10" s="56">
        <f t="shared" si="2"/>
        <v>0</v>
      </c>
      <c r="S10" s="56">
        <f t="shared" si="3"/>
        <v>0</v>
      </c>
      <c r="T10" s="56">
        <f t="shared" si="4"/>
        <v>0</v>
      </c>
      <c r="U10" s="57">
        <f t="shared" si="5"/>
        <v>0</v>
      </c>
      <c r="V10" s="16">
        <f t="shared" si="6"/>
        <v>0</v>
      </c>
    </row>
    <row r="11" spans="2:22" ht="12.75">
      <c r="B11" s="58">
        <v>2013</v>
      </c>
      <c r="C11" s="59">
        <f>Freight_Rearranged!K114+Passenger_Rearranged!M111</f>
        <v>82153.56525805261</v>
      </c>
      <c r="D11" s="59">
        <f>Freight_Rearranged!L114+Passenger_Rearranged!N111</f>
        <v>976019.71139974</v>
      </c>
      <c r="E11" s="59">
        <f>Freight_Rearranged!M114+Passenger_Rearranged!O111</f>
        <v>63270.84289839193</v>
      </c>
      <c r="F11" s="59">
        <f>Freight_Rearranged!N114+Passenger_Rearranged!P111</f>
        <v>11212.491820077314</v>
      </c>
      <c r="G11" s="60">
        <f>Freight_Rearranged!O114+Passenger_Rearranged!Q111</f>
        <v>4335.517221659887</v>
      </c>
      <c r="I11" s="58">
        <v>2013</v>
      </c>
      <c r="J11" s="59">
        <f>IF(C11&gt;C$24,1,0)</f>
        <v>0</v>
      </c>
      <c r="K11" s="59">
        <f aca="true" t="shared" si="8" ref="K11:N14">IF(D11&gt;D$24,1,0)</f>
        <v>0</v>
      </c>
      <c r="L11" s="59">
        <f t="shared" si="8"/>
        <v>0</v>
      </c>
      <c r="M11" s="59">
        <f t="shared" si="8"/>
        <v>0</v>
      </c>
      <c r="N11" s="60">
        <f t="shared" si="8"/>
        <v>0</v>
      </c>
      <c r="P11" s="58">
        <v>2013</v>
      </c>
      <c r="Q11" s="59">
        <f t="shared" si="1"/>
        <v>0</v>
      </c>
      <c r="R11" s="59">
        <f t="shared" si="2"/>
        <v>0</v>
      </c>
      <c r="S11" s="59">
        <f t="shared" si="3"/>
        <v>0</v>
      </c>
      <c r="T11" s="59">
        <f t="shared" si="4"/>
        <v>0</v>
      </c>
      <c r="U11" s="60">
        <f t="shared" si="5"/>
        <v>0</v>
      </c>
      <c r="V11" s="16">
        <f t="shared" si="6"/>
        <v>0</v>
      </c>
    </row>
    <row r="12" spans="2:22" ht="12.75">
      <c r="B12" s="58">
        <v>2014</v>
      </c>
      <c r="C12" s="59">
        <f>Freight_Rearranged!K115+Passenger_Rearranged!M112</f>
        <v>81292.60096180202</v>
      </c>
      <c r="D12" s="59">
        <f>Freight_Rearranged!L115+Passenger_Rearranged!N112</f>
        <v>971916.0241815364</v>
      </c>
      <c r="E12" s="59">
        <f>Freight_Rearranged!M115+Passenger_Rearranged!O112</f>
        <v>61580.573723982714</v>
      </c>
      <c r="F12" s="59">
        <f>Freight_Rearranged!N115+Passenger_Rearranged!P112</f>
        <v>11133.473409943219</v>
      </c>
      <c r="G12" s="60">
        <f>Freight_Rearranged!O115+Passenger_Rearranged!Q112</f>
        <v>4305.918009021211</v>
      </c>
      <c r="I12" s="58">
        <v>2014</v>
      </c>
      <c r="J12" s="59">
        <f>IF(C12&gt;C$24,1,0)</f>
        <v>0</v>
      </c>
      <c r="K12" s="59">
        <f t="shared" si="8"/>
        <v>0</v>
      </c>
      <c r="L12" s="59">
        <f t="shared" si="8"/>
        <v>0</v>
      </c>
      <c r="M12" s="59">
        <f t="shared" si="8"/>
        <v>0</v>
      </c>
      <c r="N12" s="60">
        <f t="shared" si="8"/>
        <v>0</v>
      </c>
      <c r="P12" s="58">
        <v>2014</v>
      </c>
      <c r="Q12" s="59">
        <f t="shared" si="1"/>
        <v>0</v>
      </c>
      <c r="R12" s="59">
        <f t="shared" si="2"/>
        <v>0</v>
      </c>
      <c r="S12" s="59">
        <f t="shared" si="3"/>
        <v>0</v>
      </c>
      <c r="T12" s="59">
        <f t="shared" si="4"/>
        <v>0</v>
      </c>
      <c r="U12" s="60">
        <f t="shared" si="5"/>
        <v>0</v>
      </c>
      <c r="V12" s="16">
        <f t="shared" si="6"/>
        <v>0</v>
      </c>
    </row>
    <row r="13" spans="2:22" ht="12.75">
      <c r="B13" s="58">
        <v>2015</v>
      </c>
      <c r="C13" s="59">
        <f>Freight_Rearranged!K116+Passenger_Rearranged!M113</f>
        <v>80419.61348506263</v>
      </c>
      <c r="D13" s="59">
        <f>Freight_Rearranged!L116+Passenger_Rearranged!N113</f>
        <v>967166.7773282998</v>
      </c>
      <c r="E13" s="59">
        <f>Freight_Rearranged!M116+Passenger_Rearranged!O113</f>
        <v>59832.21102448692</v>
      </c>
      <c r="F13" s="59">
        <f>Freight_Rearranged!N116+Passenger_Rearranged!P113</f>
        <v>10990.396877669802</v>
      </c>
      <c r="G13" s="60">
        <f>Freight_Rearranged!O116+Passenger_Rearranged!Q113</f>
        <v>4279.468453997573</v>
      </c>
      <c r="I13" s="58">
        <v>2015</v>
      </c>
      <c r="J13" s="59">
        <f>IF(C13&gt;C$24,1,0)</f>
        <v>0</v>
      </c>
      <c r="K13" s="59">
        <f t="shared" si="8"/>
        <v>0</v>
      </c>
      <c r="L13" s="59">
        <f t="shared" si="8"/>
        <v>0</v>
      </c>
      <c r="M13" s="59">
        <f t="shared" si="8"/>
        <v>0</v>
      </c>
      <c r="N13" s="60">
        <f t="shared" si="8"/>
        <v>0</v>
      </c>
      <c r="P13" s="58">
        <v>2015</v>
      </c>
      <c r="Q13" s="59">
        <f t="shared" si="1"/>
        <v>0</v>
      </c>
      <c r="R13" s="59">
        <f t="shared" si="2"/>
        <v>0</v>
      </c>
      <c r="S13" s="59">
        <f t="shared" si="3"/>
        <v>0</v>
      </c>
      <c r="T13" s="59">
        <f t="shared" si="4"/>
        <v>0</v>
      </c>
      <c r="U13" s="60">
        <f t="shared" si="5"/>
        <v>0</v>
      </c>
      <c r="V13" s="16">
        <f t="shared" si="6"/>
        <v>0</v>
      </c>
    </row>
    <row r="14" spans="2:22" ht="12.75">
      <c r="B14" s="58">
        <v>2016</v>
      </c>
      <c r="C14" s="59">
        <f>Freight_Rearranged!K117+Passenger_Rearranged!M114</f>
        <v>80481.77949667968</v>
      </c>
      <c r="D14" s="59">
        <f>Freight_Rearranged!L117+Passenger_Rearranged!N114</f>
        <v>974188.158320644</v>
      </c>
      <c r="E14" s="59">
        <f>Freight_Rearranged!M117+Passenger_Rearranged!O114</f>
        <v>59086.912140815926</v>
      </c>
      <c r="F14" s="59">
        <f>Freight_Rearranged!N117+Passenger_Rearranged!P114</f>
        <v>10959.098435997776</v>
      </c>
      <c r="G14" s="60">
        <f>Freight_Rearranged!O117+Passenger_Rearranged!Q114</f>
        <v>4367.383507604857</v>
      </c>
      <c r="I14" s="58">
        <v>2016</v>
      </c>
      <c r="J14" s="59">
        <f>IF(C14&gt;C$24,1,0)</f>
        <v>0</v>
      </c>
      <c r="K14" s="59">
        <f t="shared" si="8"/>
        <v>0</v>
      </c>
      <c r="L14" s="59">
        <f t="shared" si="8"/>
        <v>0</v>
      </c>
      <c r="M14" s="59">
        <f t="shared" si="8"/>
        <v>0</v>
      </c>
      <c r="N14" s="60">
        <f t="shared" si="8"/>
        <v>0</v>
      </c>
      <c r="P14" s="58">
        <v>2016</v>
      </c>
      <c r="Q14" s="59">
        <f t="shared" si="1"/>
        <v>0</v>
      </c>
      <c r="R14" s="59">
        <f t="shared" si="2"/>
        <v>0</v>
      </c>
      <c r="S14" s="59">
        <f t="shared" si="3"/>
        <v>0</v>
      </c>
      <c r="T14" s="59">
        <f t="shared" si="4"/>
        <v>0</v>
      </c>
      <c r="U14" s="60">
        <f t="shared" si="5"/>
        <v>0</v>
      </c>
      <c r="V14" s="16">
        <f t="shared" si="6"/>
        <v>0</v>
      </c>
    </row>
    <row r="15" spans="2:22" ht="12.75">
      <c r="B15" s="61">
        <v>2017</v>
      </c>
      <c r="C15" s="62">
        <f>Freight_Rearranged!K118+Passenger_Rearranged!M115</f>
        <v>79830.43181892762</v>
      </c>
      <c r="D15" s="62">
        <f>Freight_Rearranged!L118+Passenger_Rearranged!N115</f>
        <v>970074.7696651903</v>
      </c>
      <c r="E15" s="62">
        <f>Freight_Rearranged!M118+Passenger_Rearranged!O115</f>
        <v>57785.76435514365</v>
      </c>
      <c r="F15" s="62">
        <f>Freight_Rearranged!N118+Passenger_Rearranged!P115</f>
        <v>10838.095172765665</v>
      </c>
      <c r="G15" s="63">
        <f>Freight_Rearranged!O118+Passenger_Rearranged!Q115</f>
        <v>4333.762122675846</v>
      </c>
      <c r="I15" s="61">
        <v>2017</v>
      </c>
      <c r="J15" s="62">
        <f aca="true" t="shared" si="9" ref="J15:N18">IF(C15&gt;C$26,1,0)</f>
        <v>0</v>
      </c>
      <c r="K15" s="62">
        <f t="shared" si="9"/>
        <v>1</v>
      </c>
      <c r="L15" s="62">
        <f t="shared" si="9"/>
        <v>0</v>
      </c>
      <c r="M15" s="62">
        <f t="shared" si="9"/>
        <v>0</v>
      </c>
      <c r="N15" s="63">
        <f t="shared" si="9"/>
        <v>0</v>
      </c>
      <c r="P15" s="61">
        <v>2017</v>
      </c>
      <c r="Q15" s="62">
        <f t="shared" si="1"/>
        <v>0</v>
      </c>
      <c r="R15" s="62">
        <f t="shared" si="2"/>
        <v>20000000</v>
      </c>
      <c r="S15" s="62">
        <f t="shared" si="3"/>
        <v>0</v>
      </c>
      <c r="T15" s="62">
        <f t="shared" si="4"/>
        <v>0</v>
      </c>
      <c r="U15" s="63">
        <f t="shared" si="5"/>
        <v>0</v>
      </c>
      <c r="V15" s="16">
        <f t="shared" si="6"/>
        <v>20000000</v>
      </c>
    </row>
    <row r="16" spans="2:22" ht="12.75">
      <c r="B16" s="61">
        <v>2018</v>
      </c>
      <c r="C16" s="62">
        <f>Freight_Rearranged!K119+Passenger_Rearranged!M116</f>
        <v>79149.55776036468</v>
      </c>
      <c r="D16" s="62">
        <f>Freight_Rearranged!L119+Passenger_Rearranged!N116</f>
        <v>966324.4516402016</v>
      </c>
      <c r="E16" s="62">
        <f>Freight_Rearranged!M119+Passenger_Rearranged!O116</f>
        <v>56653.94560682101</v>
      </c>
      <c r="F16" s="62">
        <f>Freight_Rearranged!N119+Passenger_Rearranged!P116</f>
        <v>10751.837810377427</v>
      </c>
      <c r="G16" s="63">
        <f>Freight_Rearranged!O119+Passenger_Rearranged!Q116</f>
        <v>4333.336746260795</v>
      </c>
      <c r="I16" s="61">
        <v>2018</v>
      </c>
      <c r="J16" s="62">
        <f t="shared" si="9"/>
        <v>0</v>
      </c>
      <c r="K16" s="62">
        <f t="shared" si="9"/>
        <v>1</v>
      </c>
      <c r="L16" s="62">
        <f t="shared" si="9"/>
        <v>0</v>
      </c>
      <c r="M16" s="62">
        <f t="shared" si="9"/>
        <v>0</v>
      </c>
      <c r="N16" s="63">
        <f t="shared" si="9"/>
        <v>0</v>
      </c>
      <c r="P16" s="61">
        <v>2018</v>
      </c>
      <c r="Q16" s="62">
        <f t="shared" si="1"/>
        <v>0</v>
      </c>
      <c r="R16" s="62">
        <f t="shared" si="2"/>
        <v>20000000</v>
      </c>
      <c r="S16" s="62">
        <f t="shared" si="3"/>
        <v>0</v>
      </c>
      <c r="T16" s="62">
        <f t="shared" si="4"/>
        <v>0</v>
      </c>
      <c r="U16" s="63">
        <f t="shared" si="5"/>
        <v>0</v>
      </c>
      <c r="V16" s="16">
        <f t="shared" si="6"/>
        <v>20000000</v>
      </c>
    </row>
    <row r="17" spans="2:22" ht="12.75">
      <c r="B17" s="61">
        <v>2019</v>
      </c>
      <c r="C17" s="62">
        <f>Freight_Rearranged!K120+Passenger_Rearranged!M117</f>
        <v>78595.38717314486</v>
      </c>
      <c r="D17" s="62">
        <f>Freight_Rearranged!L120+Passenger_Rearranged!N117</f>
        <v>962762.3877609144</v>
      </c>
      <c r="E17" s="62">
        <f>Freight_Rearranged!M120+Passenger_Rearranged!O117</f>
        <v>55557.70926250653</v>
      </c>
      <c r="F17" s="62">
        <f>Freight_Rearranged!N120+Passenger_Rearranged!P117</f>
        <v>10649.823673860476</v>
      </c>
      <c r="G17" s="63">
        <f>Freight_Rearranged!O120+Passenger_Rearranged!Q117</f>
        <v>4304.822140664787</v>
      </c>
      <c r="I17" s="61">
        <v>2019</v>
      </c>
      <c r="J17" s="62">
        <f t="shared" si="9"/>
        <v>0</v>
      </c>
      <c r="K17" s="62">
        <f t="shared" si="9"/>
        <v>1</v>
      </c>
      <c r="L17" s="62">
        <f t="shared" si="9"/>
        <v>0</v>
      </c>
      <c r="M17" s="62">
        <f t="shared" si="9"/>
        <v>0</v>
      </c>
      <c r="N17" s="63">
        <f t="shared" si="9"/>
        <v>0</v>
      </c>
      <c r="P17" s="61">
        <v>2019</v>
      </c>
      <c r="Q17" s="62">
        <f t="shared" si="1"/>
        <v>0</v>
      </c>
      <c r="R17" s="62">
        <f t="shared" si="2"/>
        <v>20000000</v>
      </c>
      <c r="S17" s="62">
        <f t="shared" si="3"/>
        <v>0</v>
      </c>
      <c r="T17" s="62">
        <f t="shared" si="4"/>
        <v>0</v>
      </c>
      <c r="U17" s="63">
        <f t="shared" si="5"/>
        <v>0</v>
      </c>
      <c r="V17" s="16">
        <f t="shared" si="6"/>
        <v>20000000</v>
      </c>
    </row>
    <row r="18" spans="2:22" ht="13.5" thickBot="1">
      <c r="B18" s="64">
        <v>2020</v>
      </c>
      <c r="C18" s="65">
        <f>Freight_Rearranged!K121+Passenger_Rearranged!M118</f>
        <v>78092.29736830505</v>
      </c>
      <c r="D18" s="65">
        <f>Freight_Rearranged!L121+Passenger_Rearranged!N118</f>
        <v>959505.4387963847</v>
      </c>
      <c r="E18" s="65">
        <f>Freight_Rearranged!M121+Passenger_Rearranged!O118</f>
        <v>54557.30389704296</v>
      </c>
      <c r="F18" s="65">
        <f>Freight_Rearranged!N121+Passenger_Rearranged!P118</f>
        <v>10556.144011275923</v>
      </c>
      <c r="G18" s="66">
        <f>Freight_Rearranged!O121+Passenger_Rearranged!Q118</f>
        <v>4278.227011612284</v>
      </c>
      <c r="I18" s="64">
        <v>2020</v>
      </c>
      <c r="J18" s="65">
        <f t="shared" si="9"/>
        <v>0</v>
      </c>
      <c r="K18" s="65">
        <f t="shared" si="9"/>
        <v>1</v>
      </c>
      <c r="L18" s="65">
        <f t="shared" si="9"/>
        <v>0</v>
      </c>
      <c r="M18" s="65">
        <f t="shared" si="9"/>
        <v>0</v>
      </c>
      <c r="N18" s="66">
        <f t="shared" si="9"/>
        <v>0</v>
      </c>
      <c r="P18" s="64">
        <v>2020</v>
      </c>
      <c r="Q18" s="65">
        <f t="shared" si="1"/>
        <v>0</v>
      </c>
      <c r="R18" s="65">
        <f t="shared" si="2"/>
        <v>20000000</v>
      </c>
      <c r="S18" s="65">
        <f t="shared" si="3"/>
        <v>0</v>
      </c>
      <c r="T18" s="65">
        <f t="shared" si="4"/>
        <v>0</v>
      </c>
      <c r="U18" s="66">
        <f t="shared" si="5"/>
        <v>0</v>
      </c>
      <c r="V18" s="16">
        <f t="shared" si="6"/>
        <v>20000000</v>
      </c>
    </row>
    <row r="19" ht="13.5" thickBot="1">
      <c r="V19" s="16">
        <f>SUM(V3:V18)</f>
        <v>80000000</v>
      </c>
    </row>
    <row r="20" spans="1:7" ht="12.75">
      <c r="A20" t="s">
        <v>78</v>
      </c>
      <c r="B20" s="1" t="s">
        <v>79</v>
      </c>
      <c r="C20" s="148">
        <v>95000</v>
      </c>
      <c r="D20" s="148">
        <v>1000000</v>
      </c>
      <c r="E20" s="148">
        <v>90000</v>
      </c>
      <c r="F20" s="148">
        <v>13500</v>
      </c>
      <c r="G20" s="23">
        <v>5000</v>
      </c>
    </row>
    <row r="21" spans="2:7" ht="13.5" thickBot="1">
      <c r="B21" s="12"/>
      <c r="C21" s="149" t="str">
        <f>IF(OR(C3&gt;C20,C4&gt;C20,C5&gt;C20,C6&gt;C20),"BREACH","safe")</f>
        <v>safe</v>
      </c>
      <c r="D21" s="149" t="str">
        <f>IF(OR(D3&gt;D20,D4&gt;D20,D5&gt;D20,D6&gt;D20),"BREACH","safe")</f>
        <v>safe</v>
      </c>
      <c r="E21" s="149" t="str">
        <f>IF(OR(E3&gt;E20,E4&gt;E20,E5&gt;E20,E6&gt;E20),"BREACH","safe")</f>
        <v>safe</v>
      </c>
      <c r="F21" s="149" t="str">
        <f>IF(OR(F3&gt;F20,F4&gt;F20,F5&gt;F20,F6&gt;F20),"BREACH","safe")</f>
        <v>safe</v>
      </c>
      <c r="G21" s="150" t="str">
        <f>IF(OR(G3&gt;G20,G4&gt;G20,G5&gt;G20,G6&gt;G20),"BREACH","safe")</f>
        <v>safe</v>
      </c>
    </row>
    <row r="22" spans="2:7" ht="12.75">
      <c r="B22" s="1" t="s">
        <v>80</v>
      </c>
      <c r="C22" s="148">
        <v>100000</v>
      </c>
      <c r="D22" s="148">
        <v>1000000</v>
      </c>
      <c r="E22" s="148">
        <v>90000</v>
      </c>
      <c r="F22" s="148">
        <v>13500</v>
      </c>
      <c r="G22" s="23">
        <v>5000</v>
      </c>
    </row>
    <row r="23" spans="2:7" ht="13.5" thickBot="1">
      <c r="B23" s="12"/>
      <c r="C23" s="149" t="str">
        <f>IF(OR(C7&gt;C22,C8&gt;C22,C9&gt;C22,C10&gt;C22),"BREACH","safe")</f>
        <v>safe</v>
      </c>
      <c r="D23" s="149" t="str">
        <f>IF(OR(D7&gt;D22,D8&gt;D22,D9&gt;D22,D10&gt;D22),"BREACH","safe")</f>
        <v>safe</v>
      </c>
      <c r="E23" s="149" t="str">
        <f>IF(OR(E7&gt;E22,E8&gt;E22,E9&gt;E22,E10&gt;E22),"BREACH","safe")</f>
        <v>safe</v>
      </c>
      <c r="F23" s="149" t="str">
        <f>IF(OR(F7&gt;F22,F8&gt;F22,F9&gt;F22,F10&gt;F22),"BREACH","safe")</f>
        <v>safe</v>
      </c>
      <c r="G23" s="150" t="str">
        <f>IF(OR(G7&gt;G22,G8&gt;G22,G9&gt;G22,G10&gt;G22),"BREACH","safe")</f>
        <v>safe</v>
      </c>
    </row>
    <row r="24" spans="2:7" ht="12.75">
      <c r="B24" s="1" t="s">
        <v>81</v>
      </c>
      <c r="C24" s="148">
        <v>100000</v>
      </c>
      <c r="D24" s="148">
        <v>1000000</v>
      </c>
      <c r="E24" s="148">
        <v>85000</v>
      </c>
      <c r="F24" s="148">
        <v>13000</v>
      </c>
      <c r="G24" s="23">
        <v>4500</v>
      </c>
    </row>
    <row r="25" spans="2:9" ht="13.5" thickBot="1">
      <c r="B25" s="12"/>
      <c r="C25" s="149" t="str">
        <f>IF(OR(C11&gt;C24,C12&gt;C24,C13&gt;C24,C14&gt;C24),"BREACH","safe")</f>
        <v>safe</v>
      </c>
      <c r="D25" s="149" t="str">
        <f>IF(OR(D11&gt;D24,D12&gt;D24,D13&gt;D24,D14&gt;D24),"BREACH","safe")</f>
        <v>safe</v>
      </c>
      <c r="E25" s="149" t="str">
        <f>IF(OR(E11&gt;E24,E12&gt;E24,E13&gt;E24,E14&gt;E24),"BREACH","safe")</f>
        <v>safe</v>
      </c>
      <c r="F25" s="149" t="str">
        <f>IF(OR(F11&gt;F24,F12&gt;F24,F13&gt;F24,F14&gt;F24),"BREACH","safe")</f>
        <v>safe</v>
      </c>
      <c r="G25" s="150" t="str">
        <f>IF(OR(G11&gt;G24,G12&gt;G24,G13&gt;G24,G14&gt;G24),"BREACH","safe")</f>
        <v>safe</v>
      </c>
      <c r="I25" s="157">
        <f>IF(AND(C21="safe",D21="safe",E21="safe",F21="safe",G21="safe",C23="safe",D23="safe",E23="safe",F23="safe",G23="safe",C25="safe",D25="safe",E25="safe",F25="safe",G25="safe"),200000000,0)</f>
        <v>200000000</v>
      </c>
    </row>
    <row r="26" spans="2:7" ht="12.75">
      <c r="B26" s="1" t="s">
        <v>82</v>
      </c>
      <c r="C26" s="148">
        <v>100000</v>
      </c>
      <c r="D26" s="148">
        <v>950000</v>
      </c>
      <c r="E26" s="148">
        <v>85000</v>
      </c>
      <c r="F26" s="148">
        <v>13000</v>
      </c>
      <c r="G26" s="23">
        <v>4500</v>
      </c>
    </row>
    <row r="27" spans="2:7" ht="13.5" thickBot="1">
      <c r="B27" s="12"/>
      <c r="C27" s="149" t="str">
        <f>IF(OR(C15&gt;C26,C16&gt;C26,C17&gt;C26,C18&gt;C26),"BREACH","safe")</f>
        <v>safe</v>
      </c>
      <c r="D27" s="149" t="str">
        <f>IF(OR(D15&gt;D26,D16&gt;D26,D17&gt;D26,D18&gt;D26),"BREACH","safe")</f>
        <v>BREACH</v>
      </c>
      <c r="E27" s="149" t="str">
        <f>IF(OR(E15&gt;E26,E16&gt;E26,E17&gt;E26,E18&gt;E26),"BREACH","safe")</f>
        <v>safe</v>
      </c>
      <c r="F27" s="149" t="str">
        <f>IF(OR(F15&gt;F26,F16&gt;F26,F17&gt;F26,F18&gt;F26),"BREACH","safe")</f>
        <v>safe</v>
      </c>
      <c r="G27" s="150" t="str">
        <f>IF(OR(G15&gt;G26,G16&gt;G26,G17&gt;G26,G18&gt;G26),"BREACH","safe")</f>
        <v>safe</v>
      </c>
    </row>
    <row r="29" spans="1:7" ht="12.75">
      <c r="A29" t="s">
        <v>89</v>
      </c>
      <c r="C29" s="16">
        <v>10000000</v>
      </c>
      <c r="D29" s="16">
        <v>20000000</v>
      </c>
      <c r="E29" s="16">
        <v>10000000</v>
      </c>
      <c r="F29" s="16">
        <v>5000000</v>
      </c>
      <c r="G29" s="16">
        <v>5000000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I11" sqref="I11"/>
    </sheetView>
  </sheetViews>
  <sheetFormatPr defaultColWidth="9.140625" defaultRowHeight="12.75"/>
  <cols>
    <col min="2" max="2" width="20.421875" style="0" customWidth="1"/>
    <col min="3" max="4" width="18.7109375" style="0" customWidth="1"/>
    <col min="5" max="5" width="22.00390625" style="0" customWidth="1"/>
    <col min="6" max="9" width="13.8515625" style="0" customWidth="1"/>
    <col min="10" max="10" width="15.8515625" style="0" customWidth="1"/>
    <col min="11" max="11" width="13.8515625" style="0" bestFit="1" customWidth="1"/>
    <col min="12" max="12" width="11.8515625" style="0" customWidth="1"/>
  </cols>
  <sheetData>
    <row r="1" spans="2:12" ht="12.75">
      <c r="B1" t="s">
        <v>61</v>
      </c>
      <c r="C1" t="s">
        <v>62</v>
      </c>
      <c r="D1" t="s">
        <v>60</v>
      </c>
      <c r="E1" t="s">
        <v>63</v>
      </c>
      <c r="F1" t="s">
        <v>64</v>
      </c>
      <c r="G1" t="s">
        <v>68</v>
      </c>
      <c r="I1" t="s">
        <v>65</v>
      </c>
      <c r="J1" t="s">
        <v>66</v>
      </c>
      <c r="K1" t="s">
        <v>69</v>
      </c>
      <c r="L1" t="s">
        <v>144</v>
      </c>
    </row>
    <row r="2" spans="1:12" ht="12.75">
      <c r="A2">
        <v>2005</v>
      </c>
      <c r="B2" s="16">
        <f>Passenger_Rearranged!F87*(Passenger_Rearranged!C7/Passenger_Rearranged!D7+Passenger_Rearranged!C23/Passenger_Rearranged!D23+Passenger_Rearranged!C39/Passenger_Rearranged!D39+Passenger_Rearranged!C55/Passenger_Rearranged!D55)</f>
        <v>21189823707.757786</v>
      </c>
      <c r="C2" s="16">
        <f>(Freight_Rearranged!D10+Freight_Rearranged!D26+Freight_Rearranged!D42+Freight_Rearranged!D58)</f>
        <v>7797600000</v>
      </c>
      <c r="D2" s="16">
        <v>21000000000</v>
      </c>
      <c r="E2" s="16">
        <f>IF(D2&gt;(B2+C2),0,B2+C2-D2)</f>
        <v>7987423707.757786</v>
      </c>
      <c r="F2" s="16">
        <f>1/60*IF(AND(E2/D2&gt;0.1,E2/D2&lt;0.2),(B2+C2)*0.25,IF(AND(E2/D2&gt;0.2,E2/D2&lt;0.3),(B2+C2)*0.5,IF(AND(E2/D2&gt;0.3,E2/D2&lt;0.4),(B2+C2)*1,IF(AND(E2/D2&gt;0.4,E2/D2&lt;0.5),(B2+C2)*2,IF(E2/D2&gt;0.5,(B2+C2*4))))))</f>
        <v>483123728.46262974</v>
      </c>
      <c r="G2" s="16">
        <f>F2*1.2</f>
        <v>579748474.1551557</v>
      </c>
      <c r="H2" s="16" t="str">
        <f>IF(F2&gt;1160000000,"yes","no")</f>
        <v>no</v>
      </c>
      <c r="I2" s="16">
        <f>F2*C2/(C2+B2)</f>
        <v>129959999.99999999</v>
      </c>
      <c r="J2" s="16">
        <f>I2*10</f>
        <v>1299599999.9999998</v>
      </c>
      <c r="K2" s="16">
        <f aca="true" t="shared" si="0" ref="K2:K18">J2+G2</f>
        <v>1879348474.1551554</v>
      </c>
      <c r="L2" s="16">
        <f>K2*0.1</f>
        <v>187934847.41551554</v>
      </c>
    </row>
    <row r="3" spans="1:12" ht="12.75">
      <c r="A3">
        <v>2006</v>
      </c>
      <c r="B3" s="16">
        <f>Passenger_Rearranged!F88*(Passenger_Rearranged!C8/Passenger_Rearranged!D8+Passenger_Rearranged!C24/Passenger_Rearranged!D24+Passenger_Rearranged!C40/Passenger_Rearranged!D40+Passenger_Rearranged!C56/Passenger_Rearranged!D56)</f>
        <v>22101995267.03253</v>
      </c>
      <c r="C3" s="16">
        <f>(Freight_Rearranged!D11+Freight_Rearranged!D27+Freight_Rearranged!D43+Freight_Rearranged!D59)</f>
        <v>7896301200</v>
      </c>
      <c r="D3" s="16">
        <f aca="true" t="shared" si="1" ref="D3:D17">D2*(1+$C$21)</f>
        <v>21945000000</v>
      </c>
      <c r="E3" s="16">
        <f aca="true" t="shared" si="2" ref="E3:E17">IF(D3&gt;(B3+C3),0,B3+C3-D3)</f>
        <v>8053296467.032532</v>
      </c>
      <c r="F3" s="16">
        <f aca="true" t="shared" si="3" ref="F3:F17">1/60*IF(AND(E3/D3&gt;0.1,E3/D3&lt;0.2),(B3+C3)*0.25,IF(AND(E3/D3&gt;0.2,E3/D3&lt;0.3),(B3+C3)*0.5,IF(AND(E3/D3&gt;0.3,E3/D3&lt;0.4),(B3+C3)*1,IF(AND(E3/D3&gt;0.4,E3/D3&lt;0.5),(B3+C3)*2,IF(E3/D3&gt;0.5,(B3+C3*4))))))</f>
        <v>499971607.7838755</v>
      </c>
      <c r="G3" s="16">
        <f aca="true" t="shared" si="4" ref="G3:G17">F3*1.2</f>
        <v>599965929.3406506</v>
      </c>
      <c r="H3" s="16" t="str">
        <f aca="true" t="shared" si="5" ref="H3:H17">IF(F3&gt;1160000000,"yes","no")</f>
        <v>no</v>
      </c>
      <c r="I3" s="16">
        <f aca="true" t="shared" si="6" ref="I3:I17">F3*C3/(C3+B3)</f>
        <v>131605020</v>
      </c>
      <c r="J3" s="16">
        <f aca="true" t="shared" si="7" ref="J3:J17">I3*10</f>
        <v>1316050200</v>
      </c>
      <c r="K3" s="16">
        <f t="shared" si="0"/>
        <v>1916016129.3406506</v>
      </c>
      <c r="L3" s="16">
        <f aca="true" t="shared" si="8" ref="L3:L17">K3*0.1</f>
        <v>191601612.93406507</v>
      </c>
    </row>
    <row r="4" spans="1:12" ht="12.75">
      <c r="A4">
        <v>2007</v>
      </c>
      <c r="B4" s="16">
        <f>Passenger_Rearranged!F89*(Passenger_Rearranged!C9/Passenger_Rearranged!D9+Passenger_Rearranged!C25/Passenger_Rearranged!D25+Passenger_Rearranged!C41/Passenger_Rearranged!D41+Passenger_Rearranged!C57/Passenger_Rearranged!D57)</f>
        <v>22514952373.027077</v>
      </c>
      <c r="C4" s="16">
        <f>(Freight_Rearranged!D12+Freight_Rearranged!D28+Freight_Rearranged!D44+Freight_Rearranged!D60)</f>
        <v>7995150041.4</v>
      </c>
      <c r="D4" s="16">
        <f t="shared" si="1"/>
        <v>22932525000</v>
      </c>
      <c r="E4" s="16">
        <f t="shared" si="2"/>
        <v>7577577414.427078</v>
      </c>
      <c r="F4" s="16">
        <f t="shared" si="3"/>
        <v>508501706.90711796</v>
      </c>
      <c r="G4" s="16">
        <f t="shared" si="4"/>
        <v>610202048.2885416</v>
      </c>
      <c r="H4" s="16" t="str">
        <f t="shared" si="5"/>
        <v>no</v>
      </c>
      <c r="I4" s="16">
        <f t="shared" si="6"/>
        <v>133252500.69</v>
      </c>
      <c r="J4" s="16">
        <f t="shared" si="7"/>
        <v>1332525006.9</v>
      </c>
      <c r="K4" s="16">
        <f t="shared" si="0"/>
        <v>1942727055.1885417</v>
      </c>
      <c r="L4" s="16">
        <f t="shared" si="8"/>
        <v>194272705.51885417</v>
      </c>
    </row>
    <row r="5" spans="1:12" ht="12.75">
      <c r="A5">
        <v>2008</v>
      </c>
      <c r="B5" s="16">
        <f>Passenger_Rearranged!F90*(Passenger_Rearranged!C10/Passenger_Rearranged!D10+Passenger_Rearranged!C26/Passenger_Rearranged!D26+Passenger_Rearranged!C42/Passenger_Rearranged!D42+Passenger_Rearranged!C58/Passenger_Rearranged!D58)</f>
        <v>22473291725.195644</v>
      </c>
      <c r="C5" s="16">
        <f>(Freight_Rearranged!D13+Freight_Rearranged!D29+Freight_Rearranged!D45+Freight_Rearranged!D61)</f>
        <v>8094181995.1233</v>
      </c>
      <c r="D5" s="16">
        <f t="shared" si="1"/>
        <v>23964488625</v>
      </c>
      <c r="E5" s="16">
        <f t="shared" si="2"/>
        <v>6602985095.318943</v>
      </c>
      <c r="F5" s="16">
        <f t="shared" si="3"/>
        <v>254728947.66932452</v>
      </c>
      <c r="G5" s="16">
        <f t="shared" si="4"/>
        <v>305674737.20318943</v>
      </c>
      <c r="H5" s="16" t="str">
        <f t="shared" si="5"/>
        <v>no</v>
      </c>
      <c r="I5" s="16">
        <f t="shared" si="6"/>
        <v>67451516.6260275</v>
      </c>
      <c r="J5" s="16">
        <f t="shared" si="7"/>
        <v>674515166.2602749</v>
      </c>
      <c r="K5" s="16">
        <f t="shared" si="0"/>
        <v>980189903.4634643</v>
      </c>
      <c r="L5" s="16">
        <f t="shared" si="8"/>
        <v>98018990.34634644</v>
      </c>
    </row>
    <row r="6" spans="1:12" ht="12.75">
      <c r="A6">
        <v>2009</v>
      </c>
      <c r="B6" s="16">
        <f>Passenger_Rearranged!F91*(Passenger_Rearranged!C11/Passenger_Rearranged!D11+Passenger_Rearranged!C27/Passenger_Rearranged!D27+Passenger_Rearranged!C43/Passenger_Rearranged!D43+Passenger_Rearranged!C59/Passenger_Rearranged!D59)</f>
        <v>22885695629.206596</v>
      </c>
      <c r="C6" s="16">
        <f>(Freight_Rearranged!D14+Freight_Rearranged!D30+Freight_Rearranged!D46+Freight_Rearranged!D62)</f>
        <v>8193431510.024807</v>
      </c>
      <c r="D6" s="16">
        <f t="shared" si="1"/>
        <v>25042890613.125</v>
      </c>
      <c r="E6" s="16">
        <f t="shared" si="2"/>
        <v>6036236526.106403</v>
      </c>
      <c r="F6" s="16">
        <f t="shared" si="3"/>
        <v>258992726.1602617</v>
      </c>
      <c r="G6" s="16">
        <f t="shared" si="4"/>
        <v>310791271.392314</v>
      </c>
      <c r="H6" s="16" t="str">
        <f t="shared" si="5"/>
        <v>no</v>
      </c>
      <c r="I6" s="16">
        <f t="shared" si="6"/>
        <v>68278595.9168734</v>
      </c>
      <c r="J6" s="16">
        <f t="shared" si="7"/>
        <v>682785959.168734</v>
      </c>
      <c r="K6" s="16">
        <f t="shared" si="0"/>
        <v>993577230.561048</v>
      </c>
      <c r="L6" s="16">
        <f t="shared" si="8"/>
        <v>99357723.05610481</v>
      </c>
    </row>
    <row r="7" spans="1:12" ht="12.75">
      <c r="A7">
        <v>2010</v>
      </c>
      <c r="B7" s="16">
        <f>Passenger_Rearranged!F92*(Passenger_Rearranged!C12/Passenger_Rearranged!D12+Passenger_Rearranged!C28/Passenger_Rearranged!D28+Passenger_Rearranged!C44/Passenger_Rearranged!D44+Passenger_Rearranged!C60/Passenger_Rearranged!D60)</f>
        <v>23068658983.589417</v>
      </c>
      <c r="C7" s="16">
        <f>(Freight_Rearranged!D15+Freight_Rearranged!D31+Freight_Rearranged!D47+Freight_Rearranged!D63)</f>
        <v>8292932058.429842</v>
      </c>
      <c r="D7" s="16">
        <f t="shared" si="1"/>
        <v>26169820690.715622</v>
      </c>
      <c r="E7" s="16">
        <f t="shared" si="2"/>
        <v>5191770351.303635</v>
      </c>
      <c r="F7" s="16">
        <f t="shared" si="3"/>
        <v>130673296.00841357</v>
      </c>
      <c r="G7" s="16">
        <f t="shared" si="4"/>
        <v>156807955.21009627</v>
      </c>
      <c r="H7" s="16" t="str">
        <f t="shared" si="5"/>
        <v>no</v>
      </c>
      <c r="I7" s="16">
        <f t="shared" si="6"/>
        <v>34553883.576791</v>
      </c>
      <c r="J7" s="16">
        <f t="shared" si="7"/>
        <v>345538835.76791</v>
      </c>
      <c r="K7" s="16">
        <f t="shared" si="0"/>
        <v>502346790.97800624</v>
      </c>
      <c r="L7" s="16">
        <f t="shared" si="8"/>
        <v>50234679.09780063</v>
      </c>
    </row>
    <row r="8" spans="1:12" ht="12.75">
      <c r="A8">
        <v>2011</v>
      </c>
      <c r="B8" s="16">
        <f>Passenger_Rearranged!F93*(Passenger_Rearranged!C13/Passenger_Rearranged!D13+Passenger_Rearranged!C29/Passenger_Rearranged!D29+Passenger_Rearranged!C45/Passenger_Rearranged!D45+Passenger_Rearranged!C61/Passenger_Rearranged!D61)</f>
        <v>24065029626.844193</v>
      </c>
      <c r="C8" s="16">
        <f>(Freight_Rearranged!D16+Freight_Rearranged!D32+Freight_Rearranged!D48+Freight_Rearranged!D64)</f>
        <v>8392716179.870085</v>
      </c>
      <c r="D8" s="16">
        <f t="shared" si="1"/>
        <v>27347462621.797825</v>
      </c>
      <c r="E8" s="16">
        <f t="shared" si="2"/>
        <v>5110283184.916454</v>
      </c>
      <c r="F8" s="16">
        <f t="shared" si="3"/>
        <v>135240607.52797616</v>
      </c>
      <c r="G8" s="16">
        <f t="shared" si="4"/>
        <v>162288729.0335714</v>
      </c>
      <c r="H8" s="16" t="str">
        <f t="shared" si="5"/>
        <v>no</v>
      </c>
      <c r="I8" s="16">
        <f t="shared" si="6"/>
        <v>34969650.749458686</v>
      </c>
      <c r="J8" s="16">
        <f t="shared" si="7"/>
        <v>349696507.4945868</v>
      </c>
      <c r="K8" s="16">
        <f t="shared" si="0"/>
        <v>511985236.5281582</v>
      </c>
      <c r="L8" s="16">
        <f t="shared" si="8"/>
        <v>51198523.65281582</v>
      </c>
    </row>
    <row r="9" spans="1:12" ht="12.75">
      <c r="A9">
        <v>2012</v>
      </c>
      <c r="B9" s="16">
        <f>Passenger_Rearranged!F94*(Passenger_Rearranged!C14/Passenger_Rearranged!D14+Passenger_Rearranged!C30/Passenger_Rearranged!D30+Passenger_Rearranged!C46/Passenger_Rearranged!D46+Passenger_Rearranged!C62/Passenger_Rearranged!D62)</f>
        <v>24507170588.708176</v>
      </c>
      <c r="C9" s="16">
        <f>(Freight_Rearranged!D17+Freight_Rearranged!D33+Freight_Rearranged!D49+Freight_Rearranged!D65)</f>
        <v>8492815523.090063</v>
      </c>
      <c r="D9" s="16">
        <f t="shared" si="1"/>
        <v>28578098439.778725</v>
      </c>
      <c r="E9" s="16">
        <f t="shared" si="2"/>
        <v>4421887672.019516</v>
      </c>
      <c r="F9" s="16">
        <f t="shared" si="3"/>
        <v>137499942.13249266</v>
      </c>
      <c r="G9" s="16">
        <f t="shared" si="4"/>
        <v>164999930.5589912</v>
      </c>
      <c r="H9" s="16" t="str">
        <f t="shared" si="5"/>
        <v>no</v>
      </c>
      <c r="I9" s="16">
        <f t="shared" si="6"/>
        <v>35386731.346208595</v>
      </c>
      <c r="J9" s="16">
        <f t="shared" si="7"/>
        <v>353867313.46208596</v>
      </c>
      <c r="K9" s="16">
        <f t="shared" si="0"/>
        <v>518867244.02107716</v>
      </c>
      <c r="L9" s="16">
        <f t="shared" si="8"/>
        <v>51886724.402107716</v>
      </c>
    </row>
    <row r="10" spans="1:12" ht="12.75">
      <c r="A10">
        <v>2013</v>
      </c>
      <c r="B10" s="16">
        <f>Passenger_Rearranged!F95*(Passenger_Rearranged!C15/Passenger_Rearranged!D15+Passenger_Rearranged!C31/Passenger_Rearranged!D31+Passenger_Rearranged!C47/Passenger_Rearranged!D47+Passenger_Rearranged!C63/Passenger_Rearranged!D63)</f>
        <v>24953050738.03145</v>
      </c>
      <c r="C10" s="16">
        <f>(Freight_Rearranged!D18+Freight_Rearranged!D34+Freight_Rearranged!D50+Freight_Rearranged!D66)</f>
        <v>8593260886.39468</v>
      </c>
      <c r="D10" s="16">
        <f t="shared" si="1"/>
        <v>29864112869.568764</v>
      </c>
      <c r="E10" s="16">
        <f t="shared" si="2"/>
        <v>3682198754.8573647</v>
      </c>
      <c r="F10" s="16">
        <f t="shared" si="3"/>
        <v>139776298.43510887</v>
      </c>
      <c r="G10" s="16">
        <f t="shared" si="4"/>
        <v>167731558.12213063</v>
      </c>
      <c r="H10" s="16" t="str">
        <f t="shared" si="5"/>
        <v>no</v>
      </c>
      <c r="I10" s="16">
        <f t="shared" si="6"/>
        <v>35805253.69331116</v>
      </c>
      <c r="J10" s="16">
        <f t="shared" si="7"/>
        <v>358052536.9331116</v>
      </c>
      <c r="K10" s="16">
        <f t="shared" si="0"/>
        <v>525784095.05524224</v>
      </c>
      <c r="L10" s="16">
        <f t="shared" si="8"/>
        <v>52578409.505524226</v>
      </c>
    </row>
    <row r="11" spans="1:12" ht="12.75">
      <c r="A11">
        <v>2014</v>
      </c>
      <c r="B11" s="16">
        <f>Passenger_Rearranged!F96*(Passenger_Rearranged!C16/Passenger_Rearranged!D16+Passenger_Rearranged!C32/Passenger_Rearranged!D32+Passenger_Rearranged!C48/Passenger_Rearranged!D48+Passenger_Rearranged!C64/Passenger_Rearranged!D64)</f>
        <v>25402436215.330326</v>
      </c>
      <c r="C11" s="16">
        <f>(Freight_Rearranged!D19+Freight_Rearranged!D35+Freight_Rearranged!D51+Freight_Rearranged!D67)</f>
        <v>8694082256.405357</v>
      </c>
      <c r="D11" s="16">
        <f t="shared" si="1"/>
        <v>31207997948.699356</v>
      </c>
      <c r="E11" s="16">
        <f t="shared" si="2"/>
        <v>2888520523.0363274</v>
      </c>
      <c r="F11" s="16">
        <f t="shared" si="3"/>
        <v>0</v>
      </c>
      <c r="G11" s="16">
        <f t="shared" si="4"/>
        <v>0</v>
      </c>
      <c r="H11" s="16" t="str">
        <f t="shared" si="5"/>
        <v>no</v>
      </c>
      <c r="I11" s="16">
        <f t="shared" si="6"/>
        <v>0</v>
      </c>
      <c r="J11" s="16">
        <f t="shared" si="7"/>
        <v>0</v>
      </c>
      <c r="K11" s="16">
        <f t="shared" si="0"/>
        <v>0</v>
      </c>
      <c r="L11" s="16">
        <f t="shared" si="8"/>
        <v>0</v>
      </c>
    </row>
    <row r="12" spans="1:12" ht="12.75">
      <c r="A12">
        <v>2015</v>
      </c>
      <c r="B12" s="16">
        <f>Passenger_Rearranged!F97*(Passenger_Rearranged!C17/Passenger_Rearranged!D17+Passenger_Rearranged!C33/Passenger_Rearranged!D33+Passenger_Rearranged!C49/Passenger_Rearranged!D49+Passenger_Rearranged!C65/Passenger_Rearranged!D65)</f>
        <v>25855075696.674904</v>
      </c>
      <c r="C12" s="16">
        <f>(Freight_Rearranged!D20+Freight_Rearranged!D36+Freight_Rearranged!D52+Freight_Rearranged!D68)</f>
        <v>8707355756.836802</v>
      </c>
      <c r="D12" s="16">
        <f t="shared" si="1"/>
        <v>32612357856.390823</v>
      </c>
      <c r="E12" s="16">
        <f t="shared" si="2"/>
        <v>1950073597.1208801</v>
      </c>
      <c r="F12" s="16">
        <f t="shared" si="3"/>
        <v>0</v>
      </c>
      <c r="G12" s="16">
        <f t="shared" si="4"/>
        <v>0</v>
      </c>
      <c r="H12" s="16" t="str">
        <f t="shared" si="5"/>
        <v>no</v>
      </c>
      <c r="I12" s="16">
        <f t="shared" si="6"/>
        <v>0</v>
      </c>
      <c r="J12" s="16">
        <f t="shared" si="7"/>
        <v>0</v>
      </c>
      <c r="K12" s="16">
        <f t="shared" si="0"/>
        <v>0</v>
      </c>
      <c r="L12" s="16">
        <f t="shared" si="8"/>
        <v>0</v>
      </c>
    </row>
    <row r="13" spans="1:12" ht="12.75">
      <c r="A13">
        <v>2016</v>
      </c>
      <c r="B13" s="16">
        <f>Passenger_Rearranged!F98*(Passenger_Rearranged!C18/Passenger_Rearranged!D18+Passenger_Rearranged!C34/Passenger_Rearranged!D34+Passenger_Rearranged!C50/Passenger_Rearranged!D50+Passenger_Rearranged!C66/Passenger_Rearranged!D66)</f>
        <v>27033604177.227898</v>
      </c>
      <c r="C13" s="16">
        <f>(Freight_Rearranged!D21+Freight_Rearranged!D37+Freight_Rearranged!D53+Freight_Rearranged!D69)</f>
        <v>8711858789.120283</v>
      </c>
      <c r="D13" s="16">
        <f t="shared" si="1"/>
        <v>34079913959.92841</v>
      </c>
      <c r="E13" s="16">
        <f t="shared" si="2"/>
        <v>1665549006.419773</v>
      </c>
      <c r="F13" s="16">
        <f t="shared" si="3"/>
        <v>0</v>
      </c>
      <c r="G13" s="16">
        <f t="shared" si="4"/>
        <v>0</v>
      </c>
      <c r="H13" s="16" t="str">
        <f t="shared" si="5"/>
        <v>no</v>
      </c>
      <c r="I13" s="16">
        <f t="shared" si="6"/>
        <v>0</v>
      </c>
      <c r="J13" s="16">
        <f t="shared" si="7"/>
        <v>0</v>
      </c>
      <c r="K13" s="16">
        <f t="shared" si="0"/>
        <v>0</v>
      </c>
      <c r="L13" s="16">
        <f t="shared" si="8"/>
        <v>0</v>
      </c>
    </row>
    <row r="14" spans="1:12" ht="12.75">
      <c r="A14">
        <v>2017</v>
      </c>
      <c r="B14" s="16">
        <f>Passenger_Rearranged!F99*(Passenger_Rearranged!C19/Passenger_Rearranged!D19+Passenger_Rearranged!C35/Passenger_Rearranged!D35+Passenger_Rearranged!C51/Passenger_Rearranged!D51+Passenger_Rearranged!C67/Passenger_Rearranged!D67)</f>
        <v>27521627044.041462</v>
      </c>
      <c r="C14" s="16">
        <f>(Freight_Rearranged!D22+Freight_Rearranged!D38+Freight_Rearranged!D54+Freight_Rearranged!D70)</f>
        <v>8716253369.114101</v>
      </c>
      <c r="D14" s="16">
        <f t="shared" si="1"/>
        <v>35613510088.12518</v>
      </c>
      <c r="E14" s="16">
        <f t="shared" si="2"/>
        <v>624370325.0303802</v>
      </c>
      <c r="F14" s="16">
        <f t="shared" si="3"/>
        <v>0</v>
      </c>
      <c r="G14" s="16">
        <f t="shared" si="4"/>
        <v>0</v>
      </c>
      <c r="H14" s="16" t="str">
        <f t="shared" si="5"/>
        <v>no</v>
      </c>
      <c r="I14" s="16">
        <f t="shared" si="6"/>
        <v>0</v>
      </c>
      <c r="J14" s="16">
        <f t="shared" si="7"/>
        <v>0</v>
      </c>
      <c r="K14" s="16">
        <f t="shared" si="0"/>
        <v>0</v>
      </c>
      <c r="L14" s="16">
        <f t="shared" si="8"/>
        <v>0</v>
      </c>
    </row>
    <row r="15" spans="1:12" ht="12.75">
      <c r="A15">
        <v>2018</v>
      </c>
      <c r="B15" s="16">
        <f>Passenger_Rearranged!F100*(Passenger_Rearranged!C20/Passenger_Rearranged!D20+Passenger_Rearranged!C36/Passenger_Rearranged!D36+Passenger_Rearranged!C52/Passenger_Rearranged!D52+Passenger_Rearranged!C68/Passenger_Rearranged!D68)</f>
        <v>28176524311.551003</v>
      </c>
      <c r="C15" s="16">
        <f>(Freight_Rearranged!D23+Freight_Rearranged!D39+Freight_Rearranged!D55+Freight_Rearranged!D71)</f>
        <v>8720541678.28741</v>
      </c>
      <c r="D15" s="16">
        <f t="shared" si="1"/>
        <v>37216118042.09081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 t="str">
        <f t="shared" si="5"/>
        <v>no</v>
      </c>
      <c r="I15" s="16">
        <f t="shared" si="6"/>
        <v>0</v>
      </c>
      <c r="J15" s="16">
        <f t="shared" si="7"/>
        <v>0</v>
      </c>
      <c r="K15" s="16">
        <f t="shared" si="0"/>
        <v>0</v>
      </c>
      <c r="L15" s="16">
        <f t="shared" si="8"/>
        <v>0</v>
      </c>
    </row>
    <row r="16" spans="1:12" ht="12.75">
      <c r="A16">
        <v>2019</v>
      </c>
      <c r="B16" s="16">
        <f>Passenger_Rearranged!F101*(Passenger_Rearranged!C21/Passenger_Rearranged!D21+Passenger_Rearranged!C37/Passenger_Rearranged!D37+Passenger_Rearranged!C53/Passenger_Rearranged!D53+Passenger_Rearranged!C69/Passenger_Rearranged!D69)</f>
        <v>28677440114.266693</v>
      </c>
      <c r="C16" s="16">
        <f>(Freight_Rearranged!D24+Freight_Rearranged!D40+Freight_Rearranged!D56+Freight_Rearranged!D72)</f>
        <v>8724725854.266016</v>
      </c>
      <c r="D16" s="16">
        <f t="shared" si="1"/>
        <v>38890843353.98489</v>
      </c>
      <c r="E16" s="16">
        <f t="shared" si="2"/>
        <v>0</v>
      </c>
      <c r="F16" s="16">
        <f t="shared" si="3"/>
        <v>0</v>
      </c>
      <c r="G16" s="16">
        <f t="shared" si="4"/>
        <v>0</v>
      </c>
      <c r="H16" s="16" t="str">
        <f t="shared" si="5"/>
        <v>no</v>
      </c>
      <c r="I16" s="16">
        <f t="shared" si="6"/>
        <v>0</v>
      </c>
      <c r="J16" s="16">
        <f t="shared" si="7"/>
        <v>0</v>
      </c>
      <c r="K16" s="16">
        <f t="shared" si="0"/>
        <v>0</v>
      </c>
      <c r="L16" s="16">
        <f t="shared" si="8"/>
        <v>0</v>
      </c>
    </row>
    <row r="17" spans="1:12" ht="12.75">
      <c r="A17">
        <v>2020</v>
      </c>
      <c r="B17" s="16">
        <f>Passenger_Rearranged!F102*(Passenger_Rearranged!C22/Passenger_Rearranged!D22+Passenger_Rearranged!C38/Passenger_Rearranged!D38+Passenger_Rearranged!C54/Passenger_Rearranged!D54+Passenger_Rearranged!C70/Passenger_Rearranged!D70)</f>
        <v>29180958431.01208</v>
      </c>
      <c r="C17" s="16">
        <f>(Freight_Rearranged!D25+Freight_Rearranged!D41+Freight_Rearranged!D57+Freight_Rearranged!D73)</f>
        <v>8728807991.713541</v>
      </c>
      <c r="D17" s="16">
        <f t="shared" si="1"/>
        <v>40640931304.91421</v>
      </c>
      <c r="E17" s="16">
        <f t="shared" si="2"/>
        <v>0</v>
      </c>
      <c r="F17" s="16">
        <f t="shared" si="3"/>
        <v>0</v>
      </c>
      <c r="G17" s="16">
        <f t="shared" si="4"/>
        <v>0</v>
      </c>
      <c r="H17" s="16" t="str">
        <f t="shared" si="5"/>
        <v>no</v>
      </c>
      <c r="I17" s="16">
        <f t="shared" si="6"/>
        <v>0</v>
      </c>
      <c r="J17" s="16">
        <f t="shared" si="7"/>
        <v>0</v>
      </c>
      <c r="K17" s="16">
        <f t="shared" si="0"/>
        <v>0</v>
      </c>
      <c r="L17" s="16">
        <f t="shared" si="8"/>
        <v>0</v>
      </c>
    </row>
    <row r="18" spans="7:11" ht="12.75">
      <c r="G18" s="51">
        <f>SUM(G2:G17)</f>
        <v>3058210633.304641</v>
      </c>
      <c r="J18" s="51">
        <f>SUM(J2:J17)</f>
        <v>6712631525.986702</v>
      </c>
      <c r="K18" s="51">
        <f t="shared" si="0"/>
        <v>9770842159.291344</v>
      </c>
    </row>
    <row r="19" spans="7:10" ht="12.75">
      <c r="G19" s="16"/>
      <c r="J19" s="16"/>
    </row>
    <row r="20" ht="12.75">
      <c r="K20" t="s">
        <v>69</v>
      </c>
    </row>
    <row r="21" spans="2:3" ht="12.75">
      <c r="B21" s="50" t="s">
        <v>67</v>
      </c>
      <c r="C21" s="50">
        <v>0.045</v>
      </c>
    </row>
    <row r="22" spans="6:8" ht="12.75">
      <c r="F22" s="17"/>
      <c r="G22" s="17"/>
      <c r="H22" s="17"/>
    </row>
    <row r="23" spans="6:8" ht="12.75">
      <c r="F23" s="17"/>
      <c r="G23" s="17"/>
      <c r="H23" s="17"/>
    </row>
    <row r="24" spans="6:8" ht="12.75">
      <c r="F24" s="17"/>
      <c r="G24" s="17"/>
      <c r="H24" s="17"/>
    </row>
    <row r="25" spans="6:8" ht="12.75">
      <c r="F25" s="17"/>
      <c r="G25" s="17"/>
      <c r="H25" s="17"/>
    </row>
    <row r="26" spans="6:8" ht="12.75">
      <c r="F26" s="17"/>
      <c r="G26" s="17"/>
      <c r="H26" s="17"/>
    </row>
    <row r="27" spans="6:8" ht="12.75">
      <c r="F27" s="17"/>
      <c r="G27" s="17"/>
      <c r="H27" s="17"/>
    </row>
    <row r="28" spans="6:8" ht="12.75">
      <c r="F28" s="17"/>
      <c r="G28" s="17"/>
      <c r="H28" s="17"/>
    </row>
    <row r="29" spans="6:8" ht="12.75">
      <c r="F29" s="17"/>
      <c r="G29" s="17"/>
      <c r="H29" s="17"/>
    </row>
    <row r="30" spans="6:8" ht="12.75">
      <c r="F30" s="17"/>
      <c r="G30" s="17"/>
      <c r="H30" s="17"/>
    </row>
    <row r="31" spans="6:8" ht="12.75">
      <c r="F31" s="17"/>
      <c r="G31" s="17"/>
      <c r="H31" s="17"/>
    </row>
    <row r="32" spans="6:8" ht="12.75">
      <c r="F32" s="17"/>
      <c r="G32" s="17"/>
      <c r="H32" s="17"/>
    </row>
    <row r="33" spans="6:8" ht="12.75">
      <c r="F33" s="17"/>
      <c r="G33" s="17"/>
      <c r="H33" s="17"/>
    </row>
    <row r="34" spans="6:8" ht="12.75">
      <c r="F34" s="17"/>
      <c r="G34" s="17"/>
      <c r="H34" s="17"/>
    </row>
    <row r="35" spans="6:8" ht="12.75">
      <c r="F35" s="17"/>
      <c r="G35" s="17"/>
      <c r="H35" s="17"/>
    </row>
    <row r="36" spans="6:8" ht="12.75">
      <c r="F36" s="17"/>
      <c r="G36" s="17"/>
      <c r="H36" s="17"/>
    </row>
    <row r="37" spans="6:9" ht="12.75">
      <c r="F37" s="17"/>
      <c r="G37" s="17"/>
      <c r="H37" s="17"/>
      <c r="I37" s="16"/>
    </row>
    <row r="38" spans="6:8" ht="12.75">
      <c r="F38" s="17"/>
      <c r="G38" s="17"/>
      <c r="H38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P Dunn</dc:creator>
  <cp:keywords/>
  <dc:description/>
  <cp:lastModifiedBy>Keith McCluskey</cp:lastModifiedBy>
  <cp:lastPrinted>2004-08-12T21:01:39Z</cp:lastPrinted>
  <dcterms:created xsi:type="dcterms:W3CDTF">2004-08-11T15:21:57Z</dcterms:created>
  <dcterms:modified xsi:type="dcterms:W3CDTF">2005-06-24T14:39:43Z</dcterms:modified>
  <cp:category/>
  <cp:version/>
  <cp:contentType/>
  <cp:contentStatus/>
</cp:coreProperties>
</file>