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9.xml" ContentType="application/vnd.openxmlformats-officedocument.spreadsheetml.comments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5" windowWidth="20730" windowHeight="15030" tabRatio="686" activeTab="2"/>
  </bookViews>
  <sheets>
    <sheet name="summary" sheetId="1" r:id="rId1"/>
    <sheet name="weight" sheetId="2" r:id="rId2"/>
    <sheet name="bonjeans data" sheetId="3" r:id="rId3"/>
    <sheet name="Sheet2" sheetId="4" r:id="rId4"/>
    <sheet name="bonjeans curves" sheetId="5" r:id="rId5"/>
    <sheet name="bonjeans vs length" sheetId="6" r:id="rId6"/>
    <sheet name="trochoid" sheetId="7" r:id="rId7"/>
    <sheet name="wave data" sheetId="8" r:id="rId8"/>
    <sheet name="balance page" sheetId="9" r:id="rId9"/>
    <sheet name="balance plot" sheetId="10" r:id="rId10"/>
    <sheet name="sag buoy" sheetId="11" r:id="rId11"/>
    <sheet name="hogging long str" sheetId="12" r:id="rId12"/>
    <sheet name="sagging long str" sheetId="13" r:id="rId13"/>
    <sheet name="still water long str" sheetId="14" r:id="rId14"/>
  </sheets>
  <definedNames>
    <definedName name="BOUYHOGPER">'balance page'!$M$6</definedName>
    <definedName name="BOUYSAGPER">'balance page'!$M$26</definedName>
    <definedName name="BOUYSTILLPER">'balance page'!$M$45</definedName>
    <definedName name="cu_ft_per_ton">'balance page'!$L$4</definedName>
    <definedName name="delta">'bonjeans data'!$K$39</definedName>
    <definedName name="displacement">'weight'!$F$30</definedName>
    <definedName name="gravity">'balance page'!$L$2</definedName>
    <definedName name="HOGVAR">'balance page'!$D$6:$D$7</definedName>
    <definedName name="htwave">'wave data'!$C$3</definedName>
    <definedName name="interpolated_area_hogging">'balance page'!$B$18:$V$18</definedName>
    <definedName name="interpolated_area_sagging">'balance page'!$B$37:$V$37</definedName>
    <definedName name="interpolated_area_still">'balance page'!$B$56:$V$56</definedName>
    <definedName name="lbf_per_ton">'balance page'!$L$3</definedName>
    <definedName name="LBP">'summary'!$D$2</definedName>
    <definedName name="LCBHOGPER">'balance page'!$M$7</definedName>
    <definedName name="LCBSAGPER">'balance page'!$M$27</definedName>
    <definedName name="LCBSTILLPER">'balance page'!$M$46</definedName>
    <definedName name="lcg">'weight'!$F$31</definedName>
    <definedName name="max_draft">'balance page'!$Q$2</definedName>
    <definedName name="mean_draft_hogging">'balance page'!$D$6</definedName>
    <definedName name="mean_draft_sagging">'balance page'!$D$26</definedName>
    <definedName name="mean_draft_still">'balance page'!$D$45</definedName>
    <definedName name="min_draft">'balance page'!$Q$1</definedName>
    <definedName name="number_of_stations">'summary'!$D$3</definedName>
    <definedName name="phi_array">'wave data'!$A$7:$A$43</definedName>
    <definedName name="sa_scale_factor">'bonjeans data'!$C$2</definedName>
    <definedName name="SAGVAR">'balance page'!$D$26:$D$27</definedName>
    <definedName name="sea_water_density">'balance page'!$L$1</definedName>
    <definedName name="section_spacing">'summary'!$D$4</definedName>
    <definedName name="solver_cvg" localSheetId="8" hidden="1">0.0001</definedName>
    <definedName name="solver_drv" localSheetId="8" hidden="1">1</definedName>
    <definedName name="solver_est" localSheetId="8" hidden="1">1</definedName>
    <definedName name="solver_itr" localSheetId="8" hidden="1">100</definedName>
    <definedName name="solver_lhs1" localSheetId="8" hidden="1">'balance page'!$M$45</definedName>
    <definedName name="solver_lin" localSheetId="8" hidden="1">2</definedName>
    <definedName name="solver_neg" localSheetId="8" hidden="1">2</definedName>
    <definedName name="solver_num" localSheetId="8" hidden="1">0</definedName>
    <definedName name="solver_nwt" localSheetId="8" hidden="1">1</definedName>
    <definedName name="solver_pre" localSheetId="8" hidden="1">0.000001</definedName>
    <definedName name="solver_rel1" localSheetId="8" hidden="1">1</definedName>
    <definedName name="solver_rhs1" localSheetId="8" hidden="1">0.0005</definedName>
    <definedName name="solver_scl" localSheetId="8" hidden="1">2</definedName>
    <definedName name="solver_sho" localSheetId="8" hidden="1">2</definedName>
    <definedName name="solver_tim" localSheetId="8" hidden="1">100</definedName>
    <definedName name="solver_tol" localSheetId="8" hidden="1">0.05</definedName>
    <definedName name="solver_typ" localSheetId="8" hidden="1">1</definedName>
    <definedName name="solver_val" localSheetId="8" hidden="1">0</definedName>
    <definedName name="STILLVAR">'balance page'!$D$45:$D$46</definedName>
    <definedName name="trim_angle_hogging">'balance page'!$D$7</definedName>
    <definedName name="trim_angle_sagging">'balance page'!$D$27</definedName>
    <definedName name="trim_angle_still">'balance page'!$D$46</definedName>
    <definedName name="waterlines">'bonjeans data'!$A$9:$A$21</definedName>
    <definedName name="wave_height_hogging">'wave data'!$C$7:$C$43</definedName>
    <definedName name="wave_height_sagging">'wave data'!$E$7:$E$43</definedName>
    <definedName name="x_array_hogging">'wave data'!$B$7:$B$43</definedName>
    <definedName name="x_array_sagging">'wave data'!$D$7:$D$43</definedName>
    <definedName name="x_sta_hog">'balance page'!$B$19:$V$19</definedName>
    <definedName name="x_sta_sag">'balance page'!$B$38:$V$38</definedName>
    <definedName name="x_sta_still">'balance page'!$B$57:$V$57</definedName>
  </definedNames>
  <calcPr fullCalcOnLoad="1"/>
</workbook>
</file>

<file path=xl/comments8.xml><?xml version="1.0" encoding="utf-8"?>
<comments xmlns="http://schemas.openxmlformats.org/spreadsheetml/2006/main">
  <authors>
    <author>DBurke</author>
    <author>dave burke</author>
  </authors>
  <commentList>
    <comment ref="F6" authorId="0">
      <text>
        <r>
          <rPr>
            <sz val="8"/>
            <rFont val="Tahoma"/>
            <family val="0"/>
          </rPr>
          <t>only x is different. Y (wave heigh)
t is the same.</t>
        </r>
      </text>
    </comment>
    <comment ref="R2" authorId="0">
      <text>
        <r>
          <rPr>
            <sz val="8"/>
            <rFont val="Tahoma"/>
            <family val="0"/>
          </rPr>
          <t>this section takes mean draft and trim angle for each condition; hogging, sagging and stillwater from the balance page and calculates the immersion at each station due the respective wave.</t>
        </r>
      </text>
    </comment>
    <comment ref="U2" authorId="0">
      <text>
        <r>
          <rPr>
            <sz val="8"/>
            <rFont val="Tahoma"/>
            <family val="0"/>
          </rPr>
          <t>still water is stuck over here. It is only dependent on x. x is given by x_station, col I.</t>
        </r>
      </text>
    </comment>
    <comment ref="L7" authorId="0">
      <text>
        <r>
          <rPr>
            <sz val="8"/>
            <rFont val="Tahoma"/>
            <family val="2"/>
          </rPr>
          <t xml:space="preserve">if is required to avoid exceeding array length at last station
</t>
        </r>
      </text>
    </comment>
    <comment ref="R7" authorId="1">
      <text>
        <r>
          <rPr>
            <b/>
            <sz val="8"/>
            <rFont val="Tahoma"/>
            <family val="0"/>
          </rPr>
          <t>height of wave / 2 brings mean immersion to mean draft.</t>
        </r>
      </text>
    </comment>
  </commentList>
</comments>
</file>

<file path=xl/comments9.xml><?xml version="1.0" encoding="utf-8"?>
<comments xmlns="http://schemas.openxmlformats.org/spreadsheetml/2006/main">
  <authors>
    <author>DBurke</author>
    <author>dave burke</author>
  </authors>
  <commentList>
    <comment ref="A19" authorId="0">
      <text>
        <r>
          <rPr>
            <sz val="8"/>
            <rFont val="Tahoma"/>
            <family val="0"/>
          </rPr>
          <t>this is for buoyancy interpolation</t>
        </r>
      </text>
    </comment>
    <comment ref="M7" authorId="1">
      <text>
        <r>
          <rPr>
            <b/>
            <sz val="8"/>
            <rFont val="Tahoma"/>
            <family val="0"/>
          </rPr>
          <t xml:space="preserve">LBP added to prevent div#0 puts relative to fp
</t>
        </r>
      </text>
    </comment>
  </commentList>
</comments>
</file>

<file path=xl/sharedStrings.xml><?xml version="1.0" encoding="utf-8"?>
<sst xmlns="http://schemas.openxmlformats.org/spreadsheetml/2006/main" count="367" uniqueCount="229">
  <si>
    <t>wl/sta</t>
  </si>
  <si>
    <t>this data is for plot; station 10 is duplicated and aft sections are listed as negative</t>
  </si>
  <si>
    <t>Basic bonjean's curve data. Waterline and section area to that waterline at each station</t>
  </si>
  <si>
    <t>this version starts with basic data and modifies that data for standard bonjean's plots.</t>
  </si>
  <si>
    <t>this data is for plot of section area at each section.</t>
  </si>
  <si>
    <t>delta =</t>
  </si>
  <si>
    <t>height</t>
  </si>
  <si>
    <t>station #</t>
  </si>
  <si>
    <t>x_station</t>
  </si>
  <si>
    <t>index for interpolation</t>
  </si>
  <si>
    <t>x_lower</t>
  </si>
  <si>
    <t>x_upper</t>
  </si>
  <si>
    <t>phi_lower</t>
  </si>
  <si>
    <t>phi_upper</t>
  </si>
  <si>
    <t>phi_interpolated</t>
  </si>
  <si>
    <t>mean draft =</t>
  </si>
  <si>
    <t>trim angle</t>
  </si>
  <si>
    <t>local draft hogging</t>
  </si>
  <si>
    <t>rel to midships</t>
  </si>
  <si>
    <t>local draft sagging</t>
  </si>
  <si>
    <t>height of immersion with waves</t>
  </si>
  <si>
    <t>hogging immersion</t>
  </si>
  <si>
    <t>sagging immersion</t>
  </si>
  <si>
    <t>local draft still water</t>
  </si>
  <si>
    <t>this data now from new data</t>
  </si>
  <si>
    <t>stillwater immersion</t>
  </si>
  <si>
    <t>index of wl</t>
  </si>
  <si>
    <t>lower waterline</t>
  </si>
  <si>
    <t>lower sa</t>
  </si>
  <si>
    <t>upper sa</t>
  </si>
  <si>
    <t>interpolated sa</t>
  </si>
  <si>
    <t>mean draft hogging</t>
  </si>
  <si>
    <t>hogging</t>
  </si>
  <si>
    <t>trim angle hogging</t>
  </si>
  <si>
    <t>mean draft sagging</t>
  </si>
  <si>
    <t>trim angle sagging</t>
  </si>
  <si>
    <t>mean draft still</t>
  </si>
  <si>
    <t>trim angle still</t>
  </si>
  <si>
    <t>scaled section area</t>
  </si>
  <si>
    <t>sta</t>
  </si>
  <si>
    <t>calculated buoyancy</t>
  </si>
  <si>
    <t>calculated  lcb</t>
  </si>
  <si>
    <t>long moment</t>
  </si>
  <si>
    <t>section spacing</t>
  </si>
  <si>
    <t>scaled area</t>
  </si>
  <si>
    <t>x_calc_sagging</t>
  </si>
  <si>
    <t>x_calc_hogging</t>
  </si>
  <si>
    <t>trochoidal wave hogging</t>
  </si>
  <si>
    <t>x for sinusoidal wave</t>
  </si>
  <si>
    <t>trochoidal wave sagging</t>
  </si>
  <si>
    <t>interpolation routine for hogging wave. Calculates wave height at stations from curve derived with phi at regular intervals.</t>
  </si>
  <si>
    <t>number of stations</t>
  </si>
  <si>
    <t>x array hogging</t>
  </si>
  <si>
    <t>wave height hogging</t>
  </si>
  <si>
    <t>x array sagging</t>
  </si>
  <si>
    <t>wave height sagging</t>
  </si>
  <si>
    <t>phi array</t>
  </si>
  <si>
    <t>interpolation routine for trochoidal fit sagging</t>
  </si>
  <si>
    <t>stillwater</t>
  </si>
  <si>
    <t>interpolated y calc hogging</t>
  </si>
  <si>
    <t>interpolated y calc sagging</t>
  </si>
  <si>
    <t>LBP =</t>
  </si>
  <si>
    <t>hw = 1.1*sqrt(LBP)</t>
  </si>
  <si>
    <t>weight</t>
  </si>
  <si>
    <t>LCG of weight</t>
  </si>
  <si>
    <t>from midships</t>
  </si>
  <si>
    <t xml:space="preserve">  (ft,+fwd)</t>
  </si>
  <si>
    <t>(tons)</t>
  </si>
  <si>
    <t>input:</t>
  </si>
  <si>
    <t>displacement</t>
  </si>
  <si>
    <t>total moment rel to midships</t>
  </si>
  <si>
    <t>lcg</t>
  </si>
  <si>
    <t>moment relative to midships</t>
  </si>
  <si>
    <t>relative to midships,   (ft,+fwd)</t>
  </si>
  <si>
    <t>relative to FP</t>
  </si>
  <si>
    <t>scale factor</t>
  </si>
  <si>
    <t xml:space="preserve">data is in inches. Use scale factor to convert to section area in ft^2 </t>
  </si>
  <si>
    <t>ft^2/in total section (both sides)</t>
  </si>
  <si>
    <t>(ft tons +fwd)</t>
  </si>
  <si>
    <t>location</t>
  </si>
  <si>
    <t>ft from fp</t>
  </si>
  <si>
    <t>tons</t>
  </si>
  <si>
    <t>buoyancy</t>
  </si>
  <si>
    <t>from FP</t>
  </si>
  <si>
    <t xml:space="preserve">  (ft)</t>
  </si>
  <si>
    <t>x weight</t>
  </si>
  <si>
    <t>x sta hog</t>
  </si>
  <si>
    <t>interpolated area hogging</t>
  </si>
  <si>
    <t>hogging:</t>
  </si>
  <si>
    <t>sagging:</t>
  </si>
  <si>
    <t>interpolated area sagging</t>
  </si>
  <si>
    <t>x sta sag</t>
  </si>
  <si>
    <t>very sensitive to balance</t>
  </si>
  <si>
    <t>shear (hogging)</t>
  </si>
  <si>
    <t>shear (sagging)</t>
  </si>
  <si>
    <t>bending moment (hogging)</t>
  </si>
  <si>
    <t>still water:</t>
  </si>
  <si>
    <t>x sta still</t>
  </si>
  <si>
    <t>shear (still water)</t>
  </si>
  <si>
    <t>bending moment (still water)</t>
  </si>
  <si>
    <t>bending moment (sagging)</t>
  </si>
  <si>
    <t xml:space="preserve">maximum bending moment calc </t>
  </si>
  <si>
    <t>sagging</t>
  </si>
  <si>
    <t>still water</t>
  </si>
  <si>
    <t>ft-tons</t>
  </si>
  <si>
    <t>lcg_FP</t>
  </si>
  <si>
    <t>0 - 1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</si>
  <si>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</si>
  <si>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</si>
  <si>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</si>
  <si>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</si>
  <si>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</si>
  <si>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</si>
  <si>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</si>
  <si>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</si>
  <si>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</si>
  <si>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</si>
  <si>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</si>
  <si>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</si>
  <si>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</si>
  <si>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</si>
  <si>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</si>
  <si>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</si>
  <si>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</si>
  <si>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</si>
  <si>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</si>
  <si>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weight between stations</t>
  </si>
  <si>
    <t>stations</t>
  </si>
  <si>
    <t>FP</t>
  </si>
  <si>
    <t>midship</t>
  </si>
  <si>
    <t>AP</t>
  </si>
  <si>
    <t xml:space="preserve">buoyancy </t>
  </si>
  <si>
    <t>station</t>
  </si>
  <si>
    <t>at x weight</t>
  </si>
  <si>
    <t>ft tons</t>
  </si>
  <si>
    <t>stillwater:</t>
  </si>
  <si>
    <t>note: these are reversed in sign to plot in reverse on bonjeans vs length</t>
  </si>
  <si>
    <t>((D8-INDEX(x_sta_sag,MATCH(D8,x_sta_sag)))/(INDEX(x_sta_sag,MATCH(D8,x_sta_sag)+1)-</t>
  </si>
  <si>
    <t>INDEX(x_sta_sag,MATCH(D8,x_sta_sag)))*(INDEX(interpolated_area_sagging,MATCH(D8,x_sta_sag)+1)-</t>
  </si>
  <si>
    <t>INDEX(interpolated_area_sagging,MATCH(D8,x_sta_sag)))+INDEX(interpolated_area_sagging,MATCH(D8,x_sta_sag)))*</t>
  </si>
  <si>
    <t>sa_scale_factor*section_spacing/35</t>
  </si>
  <si>
    <t>MATCH(D8,x_sta_sag)</t>
  </si>
  <si>
    <t>INDEX(x_sta_sag,MATCH(D8,x_sta_sag)) =</t>
  </si>
  <si>
    <t>INDEX(x_sta_sag,i) =</t>
  </si>
  <si>
    <t>INDEX(x_sta_sag,MATCH(D8,x_sta_sag)+1) =</t>
  </si>
  <si>
    <t>INDEX(x_sta_sag,i+1) =</t>
  </si>
  <si>
    <t>INDEX(interpolated_area_sagging,MATCH(D8,x_sta_sag)+1) =</t>
  </si>
  <si>
    <t>INDEX(interpolated_area_sagging,i+1) =</t>
  </si>
  <si>
    <t>INDEX(interpolated_area_sagging,MATCH(D8,x_sta_sag)) =</t>
  </si>
  <si>
    <t>INDEX(interpolated_area_sagging,i) =</t>
  </si>
  <si>
    <t>sa_scale_factor*section_spacing/35 =</t>
  </si>
  <si>
    <t>interpolation:</t>
  </si>
  <si>
    <t>buoyancy = interpolated SA *station spacing * sa_scale factor/35tons/ft^3 seawater conversion =</t>
  </si>
  <si>
    <t>interpolated section area (sa) = (x-xi)/(xi+1-xi)*(SAi+1-SAi) + SAi =</t>
  </si>
  <si>
    <t>xi</t>
  </si>
  <si>
    <t>xi+1</t>
  </si>
  <si>
    <t>D8 = x =</t>
  </si>
  <si>
    <t>reference for "buried" interpolation; 1st row below has formula (w/o = for calculation)</t>
  </si>
  <si>
    <t>next separates it on a few lines and following rows lays out the logic</t>
  </si>
  <si>
    <t>((D8-INDEX(x_sta_sag,MATCH(D8,x_sta_sag)))/(INDEX(x_sta_sag,MATCH(D8,x_sta_sag)+1)-INDEX(x_sta_sag,MATCH(D8,x_sta_sag)))*(INDEX(interpolated_area_sagging,MATCH(D8,x_sta_sag)+1)-INDEX(interpolated_area_sagging,MATCH(D8,x_sta_sag)))+INDEX(interpolated_area_sagging,MATCH(D8,x_sta_sag)))*sa_scale_factor*section_spacing/35</t>
  </si>
  <si>
    <t>total buoyancy after moving by interpolation to the x location of the weight doesn't match</t>
  </si>
  <si>
    <t>in tons sea water</t>
  </si>
  <si>
    <t>weight. only for sagging ?? Better than it was see chart sag_buoy</t>
  </si>
  <si>
    <t>feet</t>
  </si>
  <si>
    <t>feet + fwd of midships</t>
  </si>
  <si>
    <t>feet relative to FP</t>
  </si>
  <si>
    <t>parameter form of trochoidal wave. Algorithm from:   ??????????????????</t>
  </si>
  <si>
    <t>note this empical value must be in feet</t>
  </si>
  <si>
    <t>conversion factors:</t>
  </si>
  <si>
    <t>sea water density =</t>
  </si>
  <si>
    <t>gravity =</t>
  </si>
  <si>
    <t>lbf per ton =</t>
  </si>
  <si>
    <t>cu ft per ton =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</si>
  <si>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35</t>
  </si>
  <si>
    <t>MATCH(D7,x_sta_still) =</t>
  </si>
  <si>
    <t>INDEX(x_sta_still,MATCH(D7,x_sta_still))</t>
  </si>
  <si>
    <t>INDEX(x_sta_still,MATCH(D7,x_sta_still)+1)</t>
  </si>
  <si>
    <t>INDEX(interpolated_area_still,MATCH(D7,x_sta_still)+1)</t>
  </si>
  <si>
    <t>INDEX(interpolated_area_still,MATCH(D7,x_sta_still)</t>
  </si>
  <si>
    <t>INDEX(interpolated_area_still,MATCH(D7,x_sta_still))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</si>
  <si>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t>
  </si>
  <si>
    <t xml:space="preserve">entry = </t>
  </si>
  <si>
    <t>section area</t>
  </si>
  <si>
    <t>tons buoyancy at mid station</t>
  </si>
  <si>
    <t>for selected mean draft and trim angle (+ by the bow)</t>
  </si>
  <si>
    <t>weight was adjusted after</t>
  </si>
  <si>
    <t>maestro run</t>
  </si>
  <si>
    <t>wave height =</t>
  </si>
  <si>
    <t>ft</t>
  </si>
  <si>
    <t>lbs/ft structure</t>
  </si>
  <si>
    <t>ft per section</t>
  </si>
  <si>
    <t>str wt per section</t>
  </si>
  <si>
    <t>ps2.doc</t>
  </si>
  <si>
    <t>x</t>
  </si>
  <si>
    <t>total wt</t>
  </si>
  <si>
    <t>str addition</t>
  </si>
  <si>
    <t>total str wt added</t>
  </si>
  <si>
    <t>min_draft</t>
  </si>
  <si>
    <t>max_draft</t>
  </si>
  <si>
    <t>upper waterline</t>
  </si>
  <si>
    <t xml:space="preserve">revised to reflect min and max drafts </t>
  </si>
  <si>
    <t>lines 13-18, added if's etc.</t>
  </si>
  <si>
    <t>lines 32-37, added if's etc.</t>
  </si>
  <si>
    <t>x = a*Z - b sin(Z) and</t>
  </si>
  <si>
    <t xml:space="preserve">y = a - b cos(Z) where Z is the angle of rotation of the circle. </t>
  </si>
  <si>
    <t>z</t>
  </si>
  <si>
    <t>y</t>
  </si>
  <si>
    <t>a</t>
  </si>
  <si>
    <t>b</t>
  </si>
  <si>
    <t>If the straight line is the x-axis, the circle has radius a, and P is at a distance b from the center of the circle, then parametric equations for the trochoid are given by</t>
  </si>
  <si>
    <t>ycos</t>
  </si>
  <si>
    <t>x for cos</t>
  </si>
  <si>
    <t>trochoidal wave set up such that peaks are sharper</t>
  </si>
  <si>
    <t>x for trochoid2</t>
  </si>
  <si>
    <t>tons str wt added</t>
  </si>
  <si>
    <t>tons w/o str</t>
  </si>
  <si>
    <t>this allocation scheme allocates 5 ft of new structure to sta 7-8 but adds it into 8-9</t>
  </si>
  <si>
    <t>sta #</t>
  </si>
  <si>
    <t>160 - 165</t>
  </si>
  <si>
    <t>165 - 187</t>
  </si>
  <si>
    <t>187 - 209</t>
  </si>
  <si>
    <t>209 -231</t>
  </si>
  <si>
    <t>231 - 250</t>
  </si>
  <si>
    <t>and 19 ft of structure to sta 11-12</t>
  </si>
  <si>
    <t>location of plug</t>
  </si>
  <si>
    <t>weght allocated</t>
  </si>
  <si>
    <t>outfit etc.</t>
  </si>
  <si>
    <t>positive</t>
  </si>
  <si>
    <t>negative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</si>
</sst>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00"/>
    <numFmt numFmtId="167" formatCode="0.00000"/>
    <numFmt numFmtId="168" formatCode="0.0000"/>
    <numFmt numFmtId="169" formatCode="0.000"/>
    <numFmt numFmtId="170" formatCode="0.0"/>
    <numFmt numFmtId="171" formatCode="0.00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0"/>
    </font>
    <font>
      <sz val="5"/>
      <name val="Geneva"/>
      <family val="0"/>
    </font>
    <font>
      <b/>
      <u val="single"/>
      <sz val="10"/>
      <name val="Arial"/>
      <family val="2"/>
    </font>
    <font>
      <sz val="8.25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9"/>
      <name val="Geneva"/>
      <family val="0"/>
    </font>
    <font>
      <sz val="12"/>
      <name val="Arial"/>
      <family val="0"/>
    </font>
    <font>
      <b/>
      <sz val="11.75"/>
      <name val="Arial"/>
      <family val="0"/>
    </font>
    <font>
      <b/>
      <sz val="14"/>
      <name val="Arial"/>
      <family val="0"/>
    </font>
    <font>
      <b/>
      <sz val="14.5"/>
      <name val="Arial"/>
      <family val="2"/>
    </font>
    <font>
      <b/>
      <sz val="8"/>
      <name val="Tahoma"/>
      <family val="0"/>
    </font>
    <font>
      <b/>
      <sz val="16.25"/>
      <name val="Geneva"/>
      <family val="0"/>
    </font>
    <font>
      <sz val="10.5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0" fontId="0" fillId="0" borderId="11" xfId="0" applyBorder="1" applyAlignment="1">
      <alignment/>
    </xf>
    <xf numFmtId="171" fontId="0" fillId="0" borderId="0" xfId="0" applyNumberFormat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 quotePrefix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Bonjean Curves - common vertical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data'!$B$24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data'!$B$25:$B$37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0.05635298295454545</c:v>
                </c:pt>
                <c:pt idx="11">
                  <c:v>0.27671046401515154</c:v>
                </c:pt>
                <c:pt idx="12">
                  <c:v>0.5003314393939394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data'!$C$24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data'!$C$25:$C$37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0.005559422348484849</c:v>
                </c:pt>
                <c:pt idx="9">
                  <c:v>0.15687973484848483</c:v>
                </c:pt>
                <c:pt idx="10">
                  <c:v>0.4980255681818182</c:v>
                </c:pt>
                <c:pt idx="11">
                  <c:v>0.8787642045454546</c:v>
                </c:pt>
                <c:pt idx="12">
                  <c:v>1.2638967803030303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data'!$D$25:$D$37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0.055588304924242424</c:v>
                </c:pt>
                <c:pt idx="7">
                  <c:v>0.18846946022727273</c:v>
                </c:pt>
                <c:pt idx="8">
                  <c:v>0.3157267992424242</c:v>
                </c:pt>
                <c:pt idx="9">
                  <c:v>0.707734375</c:v>
                </c:pt>
                <c:pt idx="10">
                  <c:v>1.1319247159090908</c:v>
                </c:pt>
                <c:pt idx="11">
                  <c:v>1.5577296401515153</c:v>
                </c:pt>
                <c:pt idx="12">
                  <c:v>1.9861860795454547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data'!$E$24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data'!$E$25:$E$37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0.0016925899621212123</c:v>
                </c:pt>
                <c:pt idx="3">
                  <c:v>0.015201231060606061</c:v>
                </c:pt>
                <c:pt idx="4">
                  <c:v>0.07644412878787879</c:v>
                </c:pt>
                <c:pt idx="5">
                  <c:v>0.19015151515151515</c:v>
                </c:pt>
                <c:pt idx="6">
                  <c:v>0.5668134469696969</c:v>
                </c:pt>
                <c:pt idx="7">
                  <c:v>0.8254711174242424</c:v>
                </c:pt>
                <c:pt idx="8">
                  <c:v>1.0056936553030302</c:v>
                </c:pt>
                <c:pt idx="9">
                  <c:v>1.4746330492424242</c:v>
                </c:pt>
                <c:pt idx="10">
                  <c:v>1.9465317234848483</c:v>
                </c:pt>
                <c:pt idx="11">
                  <c:v>2.418927556818182</c:v>
                </c:pt>
                <c:pt idx="12">
                  <c:v>2.8923295454545452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data'!$F$25:$F$37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0.028664772727272726</c:v>
                </c:pt>
                <c:pt idx="3">
                  <c:v>0.1869140625</c:v>
                </c:pt>
                <c:pt idx="4">
                  <c:v>0.375474668560606</c:v>
                </c:pt>
                <c:pt idx="5">
                  <c:v>0.5849431818181817</c:v>
                </c:pt>
                <c:pt idx="6">
                  <c:v>1.0467341382575759</c:v>
                </c:pt>
                <c:pt idx="7">
                  <c:v>1.336245265151515</c:v>
                </c:pt>
                <c:pt idx="8">
                  <c:v>1.5342092803030303</c:v>
                </c:pt>
                <c:pt idx="9">
                  <c:v>2.0340435606060603</c:v>
                </c:pt>
                <c:pt idx="10">
                  <c:v>2.533889678030303</c:v>
                </c:pt>
                <c:pt idx="11">
                  <c:v>3.0337594696969696</c:v>
                </c:pt>
                <c:pt idx="12">
                  <c:v>3.533700284090909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data'!$G$24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data'!$G$25:$G$37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0.06341382575757576</c:v>
                </c:pt>
                <c:pt idx="3">
                  <c:v>0.2399704071969697</c:v>
                </c:pt>
                <c:pt idx="4">
                  <c:v>0.4380196496212121</c:v>
                </c:pt>
                <c:pt idx="5">
                  <c:v>0.6569164299242424</c:v>
                </c:pt>
                <c:pt idx="6">
                  <c:v>1.1316714015151514</c:v>
                </c:pt>
                <c:pt idx="7">
                  <c:v>1.4248579545454545</c:v>
                </c:pt>
                <c:pt idx="8">
                  <c:v>1.623650568181818</c:v>
                </c:pt>
                <c:pt idx="9">
                  <c:v>2.1239938446969697</c:v>
                </c:pt>
                <c:pt idx="10">
                  <c:v>2.6243252840909093</c:v>
                </c:pt>
                <c:pt idx="11">
                  <c:v>3.1246567234848484</c:v>
                </c:pt>
                <c:pt idx="12">
                  <c:v>3.625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data'!$H$24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data'!$H$25:$H$37</c:f>
              <c:numCache>
                <c:ptCount val="13"/>
                <c:pt idx="0">
                  <c:v>0</c:v>
                </c:pt>
                <c:pt idx="1">
                  <c:v>0.013519176136363636</c:v>
                </c:pt>
                <c:pt idx="2">
                  <c:v>0.11022490530303031</c:v>
                </c:pt>
                <c:pt idx="3">
                  <c:v>0.2965234375</c:v>
                </c:pt>
                <c:pt idx="4">
                  <c:v>0.5036695075757576</c:v>
                </c:pt>
                <c:pt idx="5">
                  <c:v>0.731663115530303</c:v>
                </c:pt>
                <c:pt idx="6">
                  <c:v>1.2180752840909093</c:v>
                </c:pt>
                <c:pt idx="7">
                  <c:v>1.5144294507575757</c:v>
                </c:pt>
                <c:pt idx="8">
                  <c:v>1.7138375946969695</c:v>
                </c:pt>
                <c:pt idx="9">
                  <c:v>2.2141690340909093</c:v>
                </c:pt>
                <c:pt idx="10">
                  <c:v>2.7145123106060605</c:v>
                </c:pt>
                <c:pt idx="11">
                  <c:v>3.214855587121212</c:v>
                </c:pt>
                <c:pt idx="12">
                  <c:v>3.7151988636363633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data'!$I$24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data'!$I$25:$I$37</c:f>
              <c:numCache>
                <c:ptCount val="13"/>
                <c:pt idx="0">
                  <c:v>0</c:v>
                </c:pt>
                <c:pt idx="1">
                  <c:v>0.054389204545454546</c:v>
                </c:pt>
                <c:pt idx="2">
                  <c:v>0.1616015625</c:v>
                </c:pt>
                <c:pt idx="3">
                  <c:v>0.3569318181818182</c:v>
                </c:pt>
                <c:pt idx="4">
                  <c:v>0.5730658143939393</c:v>
                </c:pt>
                <c:pt idx="5">
                  <c:v>0.8100023674242424</c:v>
                </c:pt>
                <c:pt idx="6">
                  <c:v>1.3071141098484849</c:v>
                </c:pt>
                <c:pt idx="7">
                  <c:v>1.6065340909090908</c:v>
                </c:pt>
                <c:pt idx="8">
                  <c:v>1.806628787878788</c:v>
                </c:pt>
                <c:pt idx="9">
                  <c:v>2.307327178030303</c:v>
                </c:pt>
                <c:pt idx="10">
                  <c:v>2.8080255681818183</c:v>
                </c:pt>
                <c:pt idx="11">
                  <c:v>3.308723958333333</c:v>
                </c:pt>
                <c:pt idx="12">
                  <c:v>3.8094341856060607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data'!$J$24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data'!$J$25:$J$37</c:f>
              <c:numCache>
                <c:ptCount val="13"/>
                <c:pt idx="0">
                  <c:v>enter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data'!$K$24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data'!$K$25:$K$37</c:f>
              <c:numCache>
                <c:ptCount val="13"/>
                <c:pt idx="0">
                  <c:v>data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data'!$L$25:$L$37</c:f>
              <c:numCache>
                <c:ptCount val="13"/>
                <c:pt idx="0">
                  <c:v>here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data'!$M$25:$M$37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data'!$N$24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data'!$N$25:$N$37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data'!$O$24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data'!$O$25:$O$37</c:f>
              <c:numCache>
                <c:ptCount val="13"/>
                <c:pt idx="0">
                  <c:v>0</c:v>
                </c:pt>
                <c:pt idx="1">
                  <c:v>-0.025726546397438068</c:v>
                </c:pt>
                <c:pt idx="2">
                  <c:v>-0.13137347445824024</c:v>
                </c:pt>
                <c:pt idx="3">
                  <c:v>-0.3241078789739867</c:v>
                </c:pt>
                <c:pt idx="4">
                  <c:v>-0.5376657752723668</c:v>
                </c:pt>
                <c:pt idx="5">
                  <c:v>-0.7720459804692757</c:v>
                </c:pt>
                <c:pt idx="6">
                  <c:v>-1.264254702474497</c:v>
                </c:pt>
                <c:pt idx="7">
                  <c:v>-1.562093091246897</c:v>
                </c:pt>
                <c:pt idx="8">
                  <c:v>-1.7617047839485236</c:v>
                </c:pt>
                <c:pt idx="9">
                  <c:v>-2.261792696976474</c:v>
                </c:pt>
                <c:pt idx="10">
                  <c:v>-2.7618687811633755</c:v>
                </c:pt>
                <c:pt idx="11">
                  <c:v>-3.261956694191326</c:v>
                </c:pt>
                <c:pt idx="12">
                  <c:v>-3.7620327783782272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data'!$P$24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data'!$P$25:$P$37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-0.05781227774281062</c:v>
                </c:pt>
                <c:pt idx="3">
                  <c:v>-0.24195421212057416</c:v>
                </c:pt>
                <c:pt idx="4">
                  <c:v>-0.44693028423791553</c:v>
                </c:pt>
                <c:pt idx="5">
                  <c:v>-0.6727393112107296</c:v>
                </c:pt>
                <c:pt idx="6">
                  <c:v>-1.1520747055023401</c:v>
                </c:pt>
                <c:pt idx="7">
                  <c:v>-1.4462887373773314</c:v>
                </c:pt>
                <c:pt idx="8">
                  <c:v>-1.6451788707749697</c:v>
                </c:pt>
                <c:pt idx="9">
                  <c:v>-2.1451603242334794</c:v>
                </c:pt>
                <c:pt idx="10">
                  <c:v>-2.6451536065330377</c:v>
                </c:pt>
                <c:pt idx="11">
                  <c:v>-3.1451350599915475</c:v>
                </c:pt>
                <c:pt idx="12">
                  <c:v>-3.6451283422911063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data'!$Q$24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data'!$Q$25:$Q$37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-0.0055409840125761715</c:v>
                </c:pt>
                <c:pt idx="3">
                  <c:v>-0.16644717105258647</c:v>
                </c:pt>
                <c:pt idx="4">
                  <c:v>-0.3631584319290018</c:v>
                </c:pt>
                <c:pt idx="5">
                  <c:v>-0.5807038305449949</c:v>
                </c:pt>
                <c:pt idx="6">
                  <c:v>-1.0476402336490591</c:v>
                </c:pt>
                <c:pt idx="7">
                  <c:v>-1.3383742204874387</c:v>
                </c:pt>
                <c:pt idx="8">
                  <c:v>-1.5366019387863339</c:v>
                </c:pt>
                <c:pt idx="9">
                  <c:v>-2.0365833922448435</c:v>
                </c:pt>
                <c:pt idx="10">
                  <c:v>-2.536564845703353</c:v>
                </c:pt>
                <c:pt idx="11">
                  <c:v>-3.036546299161863</c:v>
                </c:pt>
                <c:pt idx="12">
                  <c:v>-3.536527752620372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data'!$R$24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data'!$R$25:$R$37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-0.09419660992538442</c:v>
                </c:pt>
                <c:pt idx="4">
                  <c:v>-0.2826430595608737</c:v>
                </c:pt>
                <c:pt idx="5">
                  <c:v>-0.4919236469359407</c:v>
                </c:pt>
                <c:pt idx="6">
                  <c:v>-0.9464622417365636</c:v>
                </c:pt>
                <c:pt idx="7">
                  <c:v>-1.233724463727066</c:v>
                </c:pt>
                <c:pt idx="8">
                  <c:v>-1.4312897669272182</c:v>
                </c:pt>
                <c:pt idx="9">
                  <c:v>-1.9312712203857276</c:v>
                </c:pt>
                <c:pt idx="10">
                  <c:v>-2.431240845003188</c:v>
                </c:pt>
                <c:pt idx="11">
                  <c:v>-2.9312222984616976</c:v>
                </c:pt>
                <c:pt idx="12">
                  <c:v>-3.4311919230791585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data'!$S$24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data'!$S$25:$S$37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-0.025200162970758225</c:v>
                </c:pt>
                <c:pt idx="4">
                  <c:v>-0.20536287521964314</c:v>
                </c:pt>
                <c:pt idx="5">
                  <c:v>-0.4063183242644343</c:v>
                </c:pt>
                <c:pt idx="6">
                  <c:v>-0.8480273580633277</c:v>
                </c:pt>
                <c:pt idx="7">
                  <c:v>-1.1312985290839026</c:v>
                </c:pt>
                <c:pt idx="8">
                  <c:v>-1.32775192122545</c:v>
                </c:pt>
                <c:pt idx="9">
                  <c:v>-1.826585977102208</c:v>
                </c:pt>
                <c:pt idx="10">
                  <c:v>-2.3256684386409945</c:v>
                </c:pt>
                <c:pt idx="11">
                  <c:v>-2.824987477000761</c:v>
                </c:pt>
                <c:pt idx="12">
                  <c:v>-3.3245430921815067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data'!$T$24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data'!$T$25:$T$37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-0.09013103725684819</c:v>
                </c:pt>
                <c:pt idx="5">
                  <c:v>-0.27487860829631977</c:v>
                </c:pt>
                <c:pt idx="6">
                  <c:v>-0.6892594706197425</c:v>
                </c:pt>
                <c:pt idx="7">
                  <c:v>-0.9588269292850679</c:v>
                </c:pt>
                <c:pt idx="8">
                  <c:v>-1.146845174874584</c:v>
                </c:pt>
                <c:pt idx="9">
                  <c:v>-1.6269979420826794</c:v>
                </c:pt>
                <c:pt idx="10">
                  <c:v>-2.1107620544630303</c:v>
                </c:pt>
                <c:pt idx="11">
                  <c:v>-2.5981339633633214</c:v>
                </c:pt>
                <c:pt idx="12">
                  <c:v>-3.089113668783553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data'!$U$24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data'!$U$25:$U$37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-0.125058056222187</c:v>
                </c:pt>
                <c:pt idx="6">
                  <c:v>-0.5025341173568806</c:v>
                </c:pt>
                <c:pt idx="7">
                  <c:v>-0.7509350478491518</c:v>
                </c:pt>
                <c:pt idx="8">
                  <c:v>-0.924868692401641</c:v>
                </c:pt>
                <c:pt idx="9">
                  <c:v>-1.372772490257888</c:v>
                </c:pt>
                <c:pt idx="10">
                  <c:v>-1.8301346294169036</c:v>
                </c:pt>
                <c:pt idx="11">
                  <c:v>-2.296971670256156</c:v>
                </c:pt>
                <c:pt idx="12">
                  <c:v>-2.7732836127756464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'bonjeans data'!$V$24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data'!$V$25:$V$37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-0.015269850910135089</c:v>
                </c:pt>
                <c:pt idx="6">
                  <c:v>-0.34590725014316165</c:v>
                </c:pt>
                <c:pt idx="7">
                  <c:v>-0.5747255342788378</c:v>
                </c:pt>
                <c:pt idx="8">
                  <c:v>-0.735041817015735</c:v>
                </c:pt>
                <c:pt idx="9">
                  <c:v>-1.1516299410788984</c:v>
                </c:pt>
                <c:pt idx="10">
                  <c:v>-1.5833613474529726</c:v>
                </c:pt>
                <c:pt idx="11">
                  <c:v>-2.0302549622836366</c:v>
                </c:pt>
                <c:pt idx="12">
                  <c:v>-2.492277664815952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'bonjeans data'!$W$24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data'!$W$25:$W$37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-0.11956829109135295</c:v>
                </c:pt>
                <c:pt idx="7">
                  <c:v>-0.22839717739433216</c:v>
                </c:pt>
                <c:pt idx="8">
                  <c:v>-0.30397400862450885</c:v>
                </c:pt>
                <c:pt idx="9">
                  <c:v>-0.5017865346025847</c:v>
                </c:pt>
                <c:pt idx="10">
                  <c:v>-0.7090160009397577</c:v>
                </c:pt>
                <c:pt idx="11">
                  <c:v>-0.9256624076360278</c:v>
                </c:pt>
                <c:pt idx="12">
                  <c:v>-1.1517257546913953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50419475"/>
        <c:axId val="51122092"/>
      </c:scatterChart>
      <c:valAx>
        <c:axId val="50419475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section area   in "units" 
Aft sections (shown negative)                                           Fwd sections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22092"/>
        <c:crosses val="autoZero"/>
        <c:crossBetween val="midCat"/>
        <c:dispUnits/>
      </c:valAx>
      <c:valAx>
        <c:axId val="51122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194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'balance page'!$A$10</c:f>
              <c:strCache>
                <c:ptCount val="1"/>
                <c:pt idx="0">
                  <c:v>hogging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page'!$B$12:$V$12</c:f>
              <c:numCache>
                <c:ptCount val="21"/>
                <c:pt idx="0">
                  <c:v>-0.6261541595986957</c:v>
                </c:pt>
                <c:pt idx="1">
                  <c:v>0.42633548925383113</c:v>
                </c:pt>
                <c:pt idx="2">
                  <c:v>2.1228292100987503</c:v>
                </c:pt>
                <c:pt idx="3">
                  <c:v>4.460324229342884</c:v>
                </c:pt>
                <c:pt idx="4">
                  <c:v>7.4352766481142805</c:v>
                </c:pt>
                <c:pt idx="5">
                  <c:v>11.009030379322486</c:v>
                </c:pt>
                <c:pt idx="6">
                  <c:v>15.11455063580996</c:v>
                </c:pt>
                <c:pt idx="7">
                  <c:v>19.60032724034457</c:v>
                </c:pt>
                <c:pt idx="8">
                  <c:v>24.072001620295918</c:v>
                </c:pt>
                <c:pt idx="9">
                  <c:v>27.81231962883015</c:v>
                </c:pt>
                <c:pt idx="10">
                  <c:v>29.73908290768034</c:v>
                </c:pt>
                <c:pt idx="11">
                  <c:v>29.26828967601358</c:v>
                </c:pt>
                <c:pt idx="12">
                  <c:v>26.987573777533857</c:v>
                </c:pt>
                <c:pt idx="13">
                  <c:v>23.97174665388848</c:v>
                </c:pt>
                <c:pt idx="14">
                  <c:v>20.945889973846544</c:v>
                </c:pt>
                <c:pt idx="15">
                  <c:v>18.29678263552683</c:v>
                </c:pt>
                <c:pt idx="16">
                  <c:v>16.180559102627413</c:v>
                </c:pt>
                <c:pt idx="17">
                  <c:v>14.66627329053543</c:v>
                </c:pt>
                <c:pt idx="18">
                  <c:v>13.787165176860295</c:v>
                </c:pt>
                <c:pt idx="19">
                  <c:v>13.549589179942018</c:v>
                </c:pt>
                <c:pt idx="20">
                  <c:v>13.956730655472708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'balance page'!$A$29</c:f>
              <c:strCache>
                <c:ptCount val="1"/>
                <c:pt idx="0">
                  <c:v>sagging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page'!$B$31:$V$31</c:f>
              <c:numCache>
                <c:ptCount val="21"/>
                <c:pt idx="0">
                  <c:v>32.973089314938676</c:v>
                </c:pt>
                <c:pt idx="1">
                  <c:v>31.833450375222537</c:v>
                </c:pt>
                <c:pt idx="2">
                  <c:v>28.882220266194096</c:v>
                </c:pt>
                <c:pt idx="3">
                  <c:v>25.197603842357132</c:v>
                </c:pt>
                <c:pt idx="4">
                  <c:v>21.501086953692326</c:v>
                </c:pt>
                <c:pt idx="5">
                  <c:v>18.182930460584977</c:v>
                </c:pt>
                <c:pt idx="6">
                  <c:v>15.397144515067886</c:v>
                </c:pt>
                <c:pt idx="7">
                  <c:v>13.211855482368103</c:v>
                </c:pt>
                <c:pt idx="8">
                  <c:v>11.662791400606796</c:v>
                </c:pt>
                <c:pt idx="9">
                  <c:v>10.755015587467593</c:v>
                </c:pt>
                <c:pt idx="10">
                  <c:v>10.491629523803645</c:v>
                </c:pt>
                <c:pt idx="11">
                  <c:v>10.873591633461531</c:v>
                </c:pt>
                <c:pt idx="12">
                  <c:v>11.899885538085524</c:v>
                </c:pt>
                <c:pt idx="13">
                  <c:v>13.56742458924349</c:v>
                </c:pt>
                <c:pt idx="14">
                  <c:v>15.871373787407075</c:v>
                </c:pt>
                <c:pt idx="15">
                  <c:v>18.775565105997607</c:v>
                </c:pt>
                <c:pt idx="16">
                  <c:v>22.212036207697466</c:v>
                </c:pt>
                <c:pt idx="17">
                  <c:v>26.027152603609192</c:v>
                </c:pt>
                <c:pt idx="18">
                  <c:v>29.830037683368953</c:v>
                </c:pt>
                <c:pt idx="19">
                  <c:v>32.89984148135446</c:v>
                </c:pt>
                <c:pt idx="20">
                  <c:v>34.157759052155285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'balance page'!$A$48</c:f>
              <c:strCache>
                <c:ptCount val="1"/>
                <c:pt idx="0">
                  <c:v>stillwater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page'!$B$50:$V$50</c:f>
              <c:numCache>
                <c:ptCount val="21"/>
                <c:pt idx="0">
                  <c:v>16.46227332435016</c:v>
                </c:pt>
                <c:pt idx="1">
                  <c:v>16.699596369584537</c:v>
                </c:pt>
                <c:pt idx="2">
                  <c:v>16.936919414818913</c:v>
                </c:pt>
                <c:pt idx="3">
                  <c:v>17.174242460053293</c:v>
                </c:pt>
                <c:pt idx="4">
                  <c:v>17.41156550528767</c:v>
                </c:pt>
                <c:pt idx="5">
                  <c:v>17.64888855052205</c:v>
                </c:pt>
                <c:pt idx="6">
                  <c:v>17.886211595756425</c:v>
                </c:pt>
                <c:pt idx="7">
                  <c:v>18.123534640990805</c:v>
                </c:pt>
                <c:pt idx="8">
                  <c:v>18.36085768622518</c:v>
                </c:pt>
                <c:pt idx="9">
                  <c:v>18.59818073145956</c:v>
                </c:pt>
                <c:pt idx="10">
                  <c:v>18.835503776693937</c:v>
                </c:pt>
                <c:pt idx="11">
                  <c:v>19.072826821928313</c:v>
                </c:pt>
                <c:pt idx="12">
                  <c:v>19.310149867162693</c:v>
                </c:pt>
                <c:pt idx="13">
                  <c:v>19.54747291239707</c:v>
                </c:pt>
                <c:pt idx="14">
                  <c:v>19.78479595763145</c:v>
                </c:pt>
                <c:pt idx="15">
                  <c:v>20.022119002865825</c:v>
                </c:pt>
                <c:pt idx="16">
                  <c:v>20.259442048100205</c:v>
                </c:pt>
                <c:pt idx="17">
                  <c:v>20.49676509333458</c:v>
                </c:pt>
                <c:pt idx="18">
                  <c:v>20.73408813856896</c:v>
                </c:pt>
                <c:pt idx="19">
                  <c:v>20.971411183803337</c:v>
                </c:pt>
                <c:pt idx="20">
                  <c:v>21.208734229037713</c:v>
                </c:pt>
              </c:numCache>
            </c:numRef>
          </c:yVal>
          <c:smooth val="1"/>
        </c:ser>
        <c:axId val="27656541"/>
        <c:axId val="47582278"/>
      </c:scatterChart>
      <c:valAx>
        <c:axId val="27656541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
(bow is to right)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582278"/>
        <c:crosses val="autoZero"/>
        <c:crossBetween val="midCat"/>
        <c:dispUnits/>
      </c:valAx>
      <c:valAx>
        <c:axId val="4758227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section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565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sagging wave
buoyancy vs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at weight location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str'!$D$7:$D$26</c:f>
              <c:numCache>
                <c:ptCount val="20"/>
                <c:pt idx="0">
                  <c:v>11</c:v>
                </c:pt>
                <c:pt idx="1">
                  <c:v>33</c:v>
                </c:pt>
                <c:pt idx="2">
                  <c:v>55</c:v>
                </c:pt>
                <c:pt idx="3">
                  <c:v>77</c:v>
                </c:pt>
                <c:pt idx="4">
                  <c:v>99</c:v>
                </c:pt>
                <c:pt idx="5">
                  <c:v>121</c:v>
                </c:pt>
                <c:pt idx="6">
                  <c:v>143</c:v>
                </c:pt>
                <c:pt idx="7">
                  <c:v>165</c:v>
                </c:pt>
                <c:pt idx="8">
                  <c:v>187</c:v>
                </c:pt>
                <c:pt idx="9">
                  <c:v>209</c:v>
                </c:pt>
                <c:pt idx="10">
                  <c:v>231</c:v>
                </c:pt>
                <c:pt idx="11">
                  <c:v>253</c:v>
                </c:pt>
                <c:pt idx="12">
                  <c:v>275</c:v>
                </c:pt>
                <c:pt idx="13">
                  <c:v>297</c:v>
                </c:pt>
                <c:pt idx="14">
                  <c:v>319</c:v>
                </c:pt>
                <c:pt idx="15">
                  <c:v>341</c:v>
                </c:pt>
                <c:pt idx="16">
                  <c:v>363</c:v>
                </c:pt>
                <c:pt idx="17">
                  <c:v>385</c:v>
                </c:pt>
                <c:pt idx="18">
                  <c:v>407</c:v>
                </c:pt>
                <c:pt idx="19">
                  <c:v>429</c:v>
                </c:pt>
              </c:numCache>
            </c:numRef>
          </c:xVal>
          <c:yVal>
            <c:numRef>
              <c:f>'sagging long str'!$E$7:$E$26</c:f>
              <c:numCache>
                <c:ptCount val="20"/>
                <c:pt idx="0">
                  <c:v>162.16210126660485</c:v>
                </c:pt>
                <c:pt idx="1">
                  <c:v>328.5348301730291</c:v>
                </c:pt>
                <c:pt idx="2">
                  <c:v>498.6751308714348</c:v>
                </c:pt>
                <c:pt idx="3">
                  <c:v>624.2790726944537</c:v>
                </c:pt>
                <c:pt idx="4">
                  <c:v>615.0399099699905</c:v>
                </c:pt>
                <c:pt idx="5">
                  <c:v>533.2716909263355</c:v>
                </c:pt>
                <c:pt idx="6">
                  <c:v>473.46577098163857</c:v>
                </c:pt>
                <c:pt idx="7">
                  <c:v>424.4637328844007</c:v>
                </c:pt>
                <c:pt idx="8">
                  <c:v>382.55065490386545</c:v>
                </c:pt>
                <c:pt idx="9">
                  <c:v>360.46204157205415</c:v>
                </c:pt>
                <c:pt idx="10">
                  <c:v>363.1166641913509</c:v>
                </c:pt>
                <c:pt idx="11">
                  <c:v>378.06435030824036</c:v>
                </c:pt>
                <c:pt idx="12">
                  <c:v>396.1355939561137</c:v>
                </c:pt>
                <c:pt idx="13">
                  <c:v>429.5400543620771</c:v>
                </c:pt>
                <c:pt idx="14">
                  <c:v>486.87427806299974</c:v>
                </c:pt>
                <c:pt idx="15">
                  <c:v>567.5235174048087</c:v>
                </c:pt>
                <c:pt idx="16">
                  <c:v>647.6901144366575</c:v>
                </c:pt>
                <c:pt idx="17">
                  <c:v>698.5893804417215</c:v>
                </c:pt>
                <c:pt idx="18">
                  <c:v>720.5812930710761</c:v>
                </c:pt>
                <c:pt idx="19">
                  <c:v>538.4323754548121</c:v>
                </c:pt>
              </c:numCache>
            </c:numRef>
          </c:yVal>
          <c:smooth val="1"/>
        </c:ser>
        <c:ser>
          <c:idx val="1"/>
          <c:order val="1"/>
          <c:tx>
            <c:v>from balance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'balance page'!$B$38:$V$38</c:f>
              <c:numCache>
                <c:ptCount val="21"/>
                <c:pt idx="0">
                  <c:v>0</c:v>
                </c:pt>
                <c:pt idx="1">
                  <c:v>23.073794659743335</c:v>
                </c:pt>
                <c:pt idx="2">
                  <c:v>43.98484132093221</c:v>
                </c:pt>
                <c:pt idx="3">
                  <c:v>65.94801256235198</c:v>
                </c:pt>
                <c:pt idx="4">
                  <c:v>87.97262480206797</c:v>
                </c:pt>
                <c:pt idx="5">
                  <c:v>109.94432971917459</c:v>
                </c:pt>
                <c:pt idx="6">
                  <c:v>131.9328901236657</c:v>
                </c:pt>
                <c:pt idx="7">
                  <c:v>153.96876694396127</c:v>
                </c:pt>
                <c:pt idx="8">
                  <c:v>175.97025178690444</c:v>
                </c:pt>
                <c:pt idx="9">
                  <c:v>197.97974465021957</c:v>
                </c:pt>
                <c:pt idx="10">
                  <c:v>219.99999999999997</c:v>
                </c:pt>
                <c:pt idx="11">
                  <c:v>242.02025534978043</c:v>
                </c:pt>
                <c:pt idx="12">
                  <c:v>264.02974821309556</c:v>
                </c:pt>
                <c:pt idx="13">
                  <c:v>286.0312330560388</c:v>
                </c:pt>
                <c:pt idx="14">
                  <c:v>308.06710987633437</c:v>
                </c:pt>
                <c:pt idx="15">
                  <c:v>330.0556702808253</c:v>
                </c:pt>
                <c:pt idx="16">
                  <c:v>352.02737519793203</c:v>
                </c:pt>
                <c:pt idx="17">
                  <c:v>374.05198743764805</c:v>
                </c:pt>
                <c:pt idx="18">
                  <c:v>396.0151586790678</c:v>
                </c:pt>
                <c:pt idx="19">
                  <c:v>418.034976313513</c:v>
                </c:pt>
                <c:pt idx="20">
                  <c:v>439.99999999999994</c:v>
                </c:pt>
              </c:numCache>
            </c:numRef>
          </c:xVal>
          <c:yVal>
            <c:numRef>
              <c:f>'balance page'!$B$40:$V$40</c:f>
              <c:numCache>
                <c:ptCount val="21"/>
                <c:pt idx="0">
                  <c:v>77.59970671601809</c:v>
                </c:pt>
                <c:pt idx="1">
                  <c:v>254.97928197023975</c:v>
                </c:pt>
                <c:pt idx="2">
                  <c:v>409.9351233953461</c:v>
                </c:pt>
                <c:pt idx="3">
                  <c:v>586.8741977153496</c:v>
                </c:pt>
                <c:pt idx="4">
                  <c:v>661.4153489732217</c:v>
                </c:pt>
                <c:pt idx="5">
                  <c:v>569.0137173164558</c:v>
                </c:pt>
                <c:pt idx="6">
                  <c:v>497.9266021714664</c:v>
                </c:pt>
                <c:pt idx="7">
                  <c:v>449.22230005066507</c:v>
                </c:pt>
                <c:pt idx="8">
                  <c:v>399.8420324528046</c:v>
                </c:pt>
                <c:pt idx="9">
                  <c:v>365.3376681275691</c:v>
                </c:pt>
                <c:pt idx="10">
                  <c:v>355.5953764714372</c:v>
                </c:pt>
                <c:pt idx="11">
                  <c:v>370.6518015761342</c:v>
                </c:pt>
                <c:pt idx="12">
                  <c:v>385.5106570063471</c:v>
                </c:pt>
                <c:pt idx="13">
                  <c:v>406.81959264413916</c:v>
                </c:pt>
                <c:pt idx="14">
                  <c:v>452.4642214592641</c:v>
                </c:pt>
                <c:pt idx="15">
                  <c:v>521.6707715658437</c:v>
                </c:pt>
                <c:pt idx="16">
                  <c:v>613.7241934805487</c:v>
                </c:pt>
                <c:pt idx="17">
                  <c:v>681.9017035948243</c:v>
                </c:pt>
                <c:pt idx="18">
                  <c:v>715.379405791682</c:v>
                </c:pt>
                <c:pt idx="19">
                  <c:v>725.8069218477333</c:v>
                </c:pt>
                <c:pt idx="20">
                  <c:v>350.46014035036853</c:v>
                </c:pt>
              </c:numCache>
            </c:numRef>
          </c:yVal>
          <c:smooth val="1"/>
        </c:ser>
        <c:axId val="25587319"/>
        <c:axId val="28959280"/>
      </c:scatterChart>
      <c:valAx>
        <c:axId val="25587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59280"/>
        <c:crosses val="autoZero"/>
        <c:crossBetween val="midCat"/>
        <c:dispUnits/>
      </c:valAx>
      <c:valAx>
        <c:axId val="28959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73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str'!$F$4</c:f>
              <c:strCache>
                <c:ptCount val="1"/>
                <c:pt idx="0">
                  <c:v>shear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'hogging long str'!$F$6:$F$26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59306929"/>
        <c:axId val="64000314"/>
      </c:scatterChart>
      <c:valAx>
        <c:axId val="5930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00314"/>
        <c:crosses val="autoZero"/>
        <c:crossBetween val="midCat"/>
        <c:dispUnits/>
      </c:valAx>
      <c:valAx>
        <c:axId val="6400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069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str'!$G$4</c:f>
              <c:strCache>
                <c:ptCount val="1"/>
                <c:pt idx="0">
                  <c:v>bending moment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'hogging long str'!$G$6:$G$26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39131915"/>
        <c:axId val="16642916"/>
      </c:scatterChart>
      <c:valAx>
        <c:axId val="39131915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16642916"/>
        <c:crosses val="autoZero"/>
        <c:crossBetween val="midCat"/>
        <c:dispUnits/>
      </c:valAx>
      <c:valAx>
        <c:axId val="16642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319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str'!$F$4</c:f>
              <c:strCache>
                <c:ptCount val="1"/>
                <c:pt idx="0">
                  <c:v>shear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'sagging long str'!$F$6:$F$26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15568517"/>
        <c:axId val="5898926"/>
      </c:scatterChart>
      <c:valAx>
        <c:axId val="1556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8926"/>
        <c:crosses val="autoZero"/>
        <c:crossBetween val="midCat"/>
        <c:dispUnits/>
        <c:majorUnit val="10"/>
        <c:minorUnit val="2"/>
      </c:valAx>
      <c:valAx>
        <c:axId val="5898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68517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str'!$G$4</c:f>
              <c:strCache>
                <c:ptCount val="1"/>
                <c:pt idx="0">
                  <c:v>bending moment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'sagging long str'!$G$6:$G$26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53090335"/>
        <c:axId val="8050968"/>
      </c:scatterChart>
      <c:valAx>
        <c:axId val="5309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50968"/>
        <c:crosses val="autoZero"/>
        <c:crossBetween val="midCat"/>
        <c:dispUnits/>
      </c:valAx>
      <c:valAx>
        <c:axId val="8050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0903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str'!$F$4</c:f>
              <c:strCache>
                <c:ptCount val="1"/>
                <c:pt idx="0">
                  <c:v>shear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'still water long str'!$F$6:$F$26</c:f>
              <c:numCache>
                <c:ptCount val="21"/>
                <c:pt idx="0">
                  <c:v>0</c:v>
                </c:pt>
                <c:pt idx="1">
                  <c:v>-77.91964285714286</c:v>
                </c:pt>
                <c:pt idx="2">
                  <c:v>-134.2868558118746</c:v>
                </c:pt>
                <c:pt idx="3">
                  <c:v>-79.9008102783476</c:v>
                </c:pt>
                <c:pt idx="4">
                  <c:v>120.42568703898515</c:v>
                </c:pt>
                <c:pt idx="5">
                  <c:v>332.021954424509</c:v>
                </c:pt>
                <c:pt idx="6">
                  <c:v>466.3066809882509</c:v>
                </c:pt>
                <c:pt idx="7">
                  <c:v>534.7902428607808</c:v>
                </c:pt>
                <c:pt idx="8">
                  <c:v>499.89958864676123</c:v>
                </c:pt>
                <c:pt idx="9">
                  <c:v>345.958326981004</c:v>
                </c:pt>
                <c:pt idx="10">
                  <c:v>146.40715894361915</c:v>
                </c:pt>
                <c:pt idx="11">
                  <c:v>-41.11373689396487</c:v>
                </c:pt>
                <c:pt idx="12">
                  <c:v>-196.9985273428755</c:v>
                </c:pt>
                <c:pt idx="13">
                  <c:v>-302.91056688383094</c:v>
                </c:pt>
                <c:pt idx="14">
                  <c:v>-351.7687662007439</c:v>
                </c:pt>
                <c:pt idx="15">
                  <c:v>-362.7476600875302</c:v>
                </c:pt>
                <c:pt idx="16">
                  <c:v>-338.99858715510885</c:v>
                </c:pt>
                <c:pt idx="17">
                  <c:v>-281.67911954002165</c:v>
                </c:pt>
                <c:pt idx="18">
                  <c:v>-200.91466994818114</c:v>
                </c:pt>
                <c:pt idx="19">
                  <c:v>-88.91448530127317</c:v>
                </c:pt>
                <c:pt idx="20">
                  <c:v>-1.4202464006465902</c:v>
                </c:pt>
              </c:numCache>
            </c:numRef>
          </c:yVal>
          <c:smooth val="0"/>
        </c:ser>
        <c:axId val="5349849"/>
        <c:axId val="48148642"/>
      </c:scatterChart>
      <c:valAx>
        <c:axId val="534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48642"/>
        <c:crosses val="autoZero"/>
        <c:crossBetween val="midCat"/>
        <c:dispUnits/>
      </c:valAx>
      <c:valAx>
        <c:axId val="48148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98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bending moment (still water)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str'!$G$4</c:f>
              <c:strCache>
                <c:ptCount val="1"/>
                <c:pt idx="0">
                  <c:v>bending moment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'still water long str'!$G$6:$G$26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-2334.271485359192</c:v>
                </c:pt>
                <c:pt idx="3">
                  <c:v>-4690.3358123516355</c:v>
                </c:pt>
                <c:pt idx="4">
                  <c:v>-4244.562167984623</c:v>
                </c:pt>
                <c:pt idx="5">
                  <c:v>732.3618881138127</c:v>
                </c:pt>
                <c:pt idx="6">
                  <c:v>9513.976877654171</c:v>
                </c:pt>
                <c:pt idx="7">
                  <c:v>20526.04303999352</c:v>
                </c:pt>
                <c:pt idx="8">
                  <c:v>31907.631186576484</c:v>
                </c:pt>
                <c:pt idx="9">
                  <c:v>41212.0682584819</c:v>
                </c:pt>
                <c:pt idx="10">
                  <c:v>46628.08860365275</c:v>
                </c:pt>
                <c:pt idx="11">
                  <c:v>47786.31624619895</c:v>
                </c:pt>
                <c:pt idx="12">
                  <c:v>45167.08133959371</c:v>
                </c:pt>
                <c:pt idx="13">
                  <c:v>39668.081303099934</c:v>
                </c:pt>
                <c:pt idx="14">
                  <c:v>32466.60863916961</c:v>
                </c:pt>
                <c:pt idx="15">
                  <c:v>24606.927949998597</c:v>
                </c:pt>
                <c:pt idx="16">
                  <c:v>16887.719230329567</c:v>
                </c:pt>
                <c:pt idx="17">
                  <c:v>10060.264456683131</c:v>
                </c:pt>
                <c:pt idx="18">
                  <c:v>4751.732772312901</c:v>
                </c:pt>
                <c:pt idx="19">
                  <c:v>1563.6120645689039</c:v>
                </c:pt>
                <c:pt idx="20">
                  <c:v>569.9300158477864</c:v>
                </c:pt>
              </c:numCache>
            </c:numRef>
          </c:yVal>
          <c:smooth val="0"/>
        </c:ser>
        <c:axId val="30684595"/>
        <c:axId val="7725900"/>
      </c:scatterChart>
      <c:valAx>
        <c:axId val="30684595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7725900"/>
        <c:crosses val="autoZero"/>
        <c:crossBetween val="midCat"/>
        <c:dispUnits/>
      </c:valAx>
      <c:valAx>
        <c:axId val="7725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6845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Curves - separate vertical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Sheet2!$L$31:$L$32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Sheet2!$K$31:$K$32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7445645"/>
        <c:axId val="47248758"/>
      </c:scatterChart>
      <c:valAx>
        <c:axId val="57445645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248758"/>
        <c:crosses val="autoZero"/>
        <c:crossBetween val="midCat"/>
        <c:dispUnits/>
      </c:valAx>
      <c:valAx>
        <c:axId val="4724875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456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Bonjean Curves - separate vertical axis
intersection of stillwater immersion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v>stillwater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'balance page'!$B$49:$V$49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page'!$B$50:$V$50</c:f>
              <c:numCache>
                <c:ptCount val="21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</c:numCache>
            </c:numRef>
          </c:yVal>
          <c:smooth val="1"/>
        </c:ser>
        <c:axId val="22585639"/>
        <c:axId val="1944160"/>
      </c:scatterChart>
      <c:valAx>
        <c:axId val="22585639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44160"/>
        <c:crosses val="autoZero"/>
        <c:crossBetween val="midCat"/>
        <c:dispUnits/>
      </c:valAx>
      <c:valAx>
        <c:axId val="194416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856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Curves - separate vertical axis
intersection of sagging immersion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v>sagging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'balance page'!$B$30:$V$30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page'!$B$31:$V$31</c:f>
              <c:numCache>
                <c:ptCount val="21"/>
                <c:pt idx="0">
                  <c:v>30.428263394104924</c:v>
                </c:pt>
                <c:pt idx="1">
                  <c:v>31.077538160649183</c:v>
                </c:pt>
                <c:pt idx="2">
                  <c:v>30.627063510970842</c:v>
                </c:pt>
                <c:pt idx="3">
                  <c:v>29.2536127341733</c:v>
                </c:pt>
                <c:pt idx="4">
                  <c:v>27.22673929975437</c:v>
                </c:pt>
                <c:pt idx="5">
                  <c:v>24.87672071668746</c:v>
                </c:pt>
                <c:pt idx="6">
                  <c:v>22.55835464351561</c:v>
                </c:pt>
                <c:pt idx="7">
                  <c:v>20.613815651997218</c:v>
                </c:pt>
                <c:pt idx="8">
                  <c:v>19.34188705074897</c:v>
                </c:pt>
                <c:pt idx="9">
                  <c:v>18.973621737968266</c:v>
                </c:pt>
                <c:pt idx="10">
                  <c:v>19.654378292398906</c:v>
                </c:pt>
                <c:pt idx="11">
                  <c:v>21.433685008105208</c:v>
                </c:pt>
                <c:pt idx="12">
                  <c:v>24.262093279563246</c:v>
                </c:pt>
                <c:pt idx="13">
                  <c:v>27.994069674116677</c:v>
                </c:pt>
                <c:pt idx="14">
                  <c:v>32.3984581077292</c:v>
                </c:pt>
                <c:pt idx="15">
                  <c:v>37.1767577191071</c:v>
                </c:pt>
                <c:pt idx="16">
                  <c:v>41.98695949715599</c:v>
                </c:pt>
                <c:pt idx="17">
                  <c:v>46.47383262357007</c:v>
                </c:pt>
                <c:pt idx="18">
                  <c:v>50.307144069844966</c:v>
                </c:pt>
                <c:pt idx="19">
                  <c:v>53.21744326455199</c:v>
                </c:pt>
                <c:pt idx="20">
                  <c:v>55.028082510179566</c:v>
                </c:pt>
              </c:numCache>
            </c:numRef>
          </c:yVal>
          <c:smooth val="1"/>
        </c:ser>
        <c:ser>
          <c:idx val="22"/>
          <c:order val="22"/>
          <c:tx>
            <c:v>area 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Sheet2!$M$93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Sheet2!$L$93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16 wl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Sheet2!$M$94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Sheet2!$L$94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17497441"/>
        <c:axId val="23259242"/>
      </c:scatterChart>
      <c:valAx>
        <c:axId val="17497441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259242"/>
        <c:crosses val="autoZero"/>
        <c:crossBetween val="midCat"/>
        <c:dispUnits/>
      </c:valAx>
      <c:valAx>
        <c:axId val="2325924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974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data'!$B$24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data'!$B$25:$B$37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0.05635298295454545</c:v>
                </c:pt>
                <c:pt idx="11">
                  <c:v>0.27671046401515154</c:v>
                </c:pt>
                <c:pt idx="12">
                  <c:v>0.5003314393939394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data'!$C$24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data'!$C$25:$C$37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0.005559422348484849</c:v>
                </c:pt>
                <c:pt idx="9">
                  <c:v>0.15687973484848483</c:v>
                </c:pt>
                <c:pt idx="10">
                  <c:v>0.4980255681818182</c:v>
                </c:pt>
                <c:pt idx="11">
                  <c:v>0.8787642045454546</c:v>
                </c:pt>
                <c:pt idx="12">
                  <c:v>1.2638967803030303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data'!$D$25:$D$37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0.055588304924242424</c:v>
                </c:pt>
                <c:pt idx="7">
                  <c:v>0.18846946022727273</c:v>
                </c:pt>
                <c:pt idx="8">
                  <c:v>0.3157267992424242</c:v>
                </c:pt>
                <c:pt idx="9">
                  <c:v>0.707734375</c:v>
                </c:pt>
                <c:pt idx="10">
                  <c:v>1.1319247159090908</c:v>
                </c:pt>
                <c:pt idx="11">
                  <c:v>1.5577296401515153</c:v>
                </c:pt>
                <c:pt idx="12">
                  <c:v>1.9861860795454547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data'!$E$24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data'!$E$25:$E$37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0.0016925899621212123</c:v>
                </c:pt>
                <c:pt idx="3">
                  <c:v>0.015201231060606061</c:v>
                </c:pt>
                <c:pt idx="4">
                  <c:v>0.07644412878787879</c:v>
                </c:pt>
                <c:pt idx="5">
                  <c:v>0.19015151515151515</c:v>
                </c:pt>
                <c:pt idx="6">
                  <c:v>0.5668134469696969</c:v>
                </c:pt>
                <c:pt idx="7">
                  <c:v>0.8254711174242424</c:v>
                </c:pt>
                <c:pt idx="8">
                  <c:v>1.0056936553030302</c:v>
                </c:pt>
                <c:pt idx="9">
                  <c:v>1.4746330492424242</c:v>
                </c:pt>
                <c:pt idx="10">
                  <c:v>1.9465317234848483</c:v>
                </c:pt>
                <c:pt idx="11">
                  <c:v>2.418927556818182</c:v>
                </c:pt>
                <c:pt idx="12">
                  <c:v>2.8923295454545452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data'!$F$25:$F$37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0.028664772727272726</c:v>
                </c:pt>
                <c:pt idx="3">
                  <c:v>0.1869140625</c:v>
                </c:pt>
                <c:pt idx="4">
                  <c:v>0.375474668560606</c:v>
                </c:pt>
                <c:pt idx="5">
                  <c:v>0.5849431818181817</c:v>
                </c:pt>
                <c:pt idx="6">
                  <c:v>1.0467341382575759</c:v>
                </c:pt>
                <c:pt idx="7">
                  <c:v>1.336245265151515</c:v>
                </c:pt>
                <c:pt idx="8">
                  <c:v>1.5342092803030303</c:v>
                </c:pt>
                <c:pt idx="9">
                  <c:v>2.0340435606060603</c:v>
                </c:pt>
                <c:pt idx="10">
                  <c:v>2.533889678030303</c:v>
                </c:pt>
                <c:pt idx="11">
                  <c:v>3.0337594696969696</c:v>
                </c:pt>
                <c:pt idx="12">
                  <c:v>3.533700284090909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data'!$G$24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data'!$G$25:$G$37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0.06341382575757576</c:v>
                </c:pt>
                <c:pt idx="3">
                  <c:v>0.2399704071969697</c:v>
                </c:pt>
                <c:pt idx="4">
                  <c:v>0.4380196496212121</c:v>
                </c:pt>
                <c:pt idx="5">
                  <c:v>0.6569164299242424</c:v>
                </c:pt>
                <c:pt idx="6">
                  <c:v>1.1316714015151514</c:v>
                </c:pt>
                <c:pt idx="7">
                  <c:v>1.4248579545454545</c:v>
                </c:pt>
                <c:pt idx="8">
                  <c:v>1.623650568181818</c:v>
                </c:pt>
                <c:pt idx="9">
                  <c:v>2.1239938446969697</c:v>
                </c:pt>
                <c:pt idx="10">
                  <c:v>2.6243252840909093</c:v>
                </c:pt>
                <c:pt idx="11">
                  <c:v>3.1246567234848484</c:v>
                </c:pt>
                <c:pt idx="12">
                  <c:v>3.625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data'!$H$24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data'!$H$25:$H$37</c:f>
              <c:numCache>
                <c:ptCount val="13"/>
                <c:pt idx="0">
                  <c:v>0</c:v>
                </c:pt>
                <c:pt idx="1">
                  <c:v>0.013519176136363636</c:v>
                </c:pt>
                <c:pt idx="2">
                  <c:v>0.11022490530303031</c:v>
                </c:pt>
                <c:pt idx="3">
                  <c:v>0.2965234375</c:v>
                </c:pt>
                <c:pt idx="4">
                  <c:v>0.5036695075757576</c:v>
                </c:pt>
                <c:pt idx="5">
                  <c:v>0.731663115530303</c:v>
                </c:pt>
                <c:pt idx="6">
                  <c:v>1.2180752840909093</c:v>
                </c:pt>
                <c:pt idx="7">
                  <c:v>1.5144294507575757</c:v>
                </c:pt>
                <c:pt idx="8">
                  <c:v>1.7138375946969695</c:v>
                </c:pt>
                <c:pt idx="9">
                  <c:v>2.2141690340909093</c:v>
                </c:pt>
                <c:pt idx="10">
                  <c:v>2.7145123106060605</c:v>
                </c:pt>
                <c:pt idx="11">
                  <c:v>3.214855587121212</c:v>
                </c:pt>
                <c:pt idx="12">
                  <c:v>3.7151988636363633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data'!$I$24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data'!$I$25:$I$37</c:f>
              <c:numCache>
                <c:ptCount val="13"/>
                <c:pt idx="0">
                  <c:v>0</c:v>
                </c:pt>
                <c:pt idx="1">
                  <c:v>0.054389204545454546</c:v>
                </c:pt>
                <c:pt idx="2">
                  <c:v>0.1616015625</c:v>
                </c:pt>
                <c:pt idx="3">
                  <c:v>0.3569318181818182</c:v>
                </c:pt>
                <c:pt idx="4">
                  <c:v>0.5730658143939393</c:v>
                </c:pt>
                <c:pt idx="5">
                  <c:v>0.8100023674242424</c:v>
                </c:pt>
                <c:pt idx="6">
                  <c:v>1.3071141098484849</c:v>
                </c:pt>
                <c:pt idx="7">
                  <c:v>1.6065340909090908</c:v>
                </c:pt>
                <c:pt idx="8">
                  <c:v>1.806628787878788</c:v>
                </c:pt>
                <c:pt idx="9">
                  <c:v>2.307327178030303</c:v>
                </c:pt>
                <c:pt idx="10">
                  <c:v>2.8080255681818183</c:v>
                </c:pt>
                <c:pt idx="11">
                  <c:v>3.308723958333333</c:v>
                </c:pt>
                <c:pt idx="12">
                  <c:v>3.8094341856060607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data'!$J$24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data'!$J$25:$J$37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data'!$K$24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data'!$K$25:$K$37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data'!$L$25:$L$37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data'!$M$25:$M$37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data'!$N$24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data'!$N$25:$N$37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data'!$O$24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data'!$O$25:$O$37</c:f>
              <c:numCache>
                <c:ptCount val="13"/>
                <c:pt idx="0">
                  <c:v>0</c:v>
                </c:pt>
                <c:pt idx="1">
                  <c:v>-0.025726546397438068</c:v>
                </c:pt>
                <c:pt idx="2">
                  <c:v>-0.13137347445824024</c:v>
                </c:pt>
                <c:pt idx="3">
                  <c:v>-0.3241078789739867</c:v>
                </c:pt>
                <c:pt idx="4">
                  <c:v>-0.5376657752723668</c:v>
                </c:pt>
                <c:pt idx="5">
                  <c:v>-0.7720459804692757</c:v>
                </c:pt>
                <c:pt idx="6">
                  <c:v>-1.264254702474497</c:v>
                </c:pt>
                <c:pt idx="7">
                  <c:v>-1.562093091246897</c:v>
                </c:pt>
                <c:pt idx="8">
                  <c:v>-1.7617047839485236</c:v>
                </c:pt>
                <c:pt idx="9">
                  <c:v>-2.261792696976474</c:v>
                </c:pt>
                <c:pt idx="10">
                  <c:v>-2.7618687811633755</c:v>
                </c:pt>
                <c:pt idx="11">
                  <c:v>-3.261956694191326</c:v>
                </c:pt>
                <c:pt idx="12">
                  <c:v>-3.7620327783782272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data'!$P$24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data'!$P$25:$P$37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-0.05781227774281062</c:v>
                </c:pt>
                <c:pt idx="3">
                  <c:v>-0.24195421212057416</c:v>
                </c:pt>
                <c:pt idx="4">
                  <c:v>-0.44693028423791553</c:v>
                </c:pt>
                <c:pt idx="5">
                  <c:v>-0.6727393112107296</c:v>
                </c:pt>
                <c:pt idx="6">
                  <c:v>-1.1520747055023401</c:v>
                </c:pt>
                <c:pt idx="7">
                  <c:v>-1.4462887373773314</c:v>
                </c:pt>
                <c:pt idx="8">
                  <c:v>-1.6451788707749697</c:v>
                </c:pt>
                <c:pt idx="9">
                  <c:v>-2.1451603242334794</c:v>
                </c:pt>
                <c:pt idx="10">
                  <c:v>-2.6451536065330377</c:v>
                </c:pt>
                <c:pt idx="11">
                  <c:v>-3.1451350599915475</c:v>
                </c:pt>
                <c:pt idx="12">
                  <c:v>-3.6451283422911063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data'!$Q$24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data'!$Q$25:$Q$37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-0.0055409840125761715</c:v>
                </c:pt>
                <c:pt idx="3">
                  <c:v>-0.16644717105258647</c:v>
                </c:pt>
                <c:pt idx="4">
                  <c:v>-0.3631584319290018</c:v>
                </c:pt>
                <c:pt idx="5">
                  <c:v>-0.5807038305449949</c:v>
                </c:pt>
                <c:pt idx="6">
                  <c:v>-1.0476402336490591</c:v>
                </c:pt>
                <c:pt idx="7">
                  <c:v>-1.3383742204874387</c:v>
                </c:pt>
                <c:pt idx="8">
                  <c:v>-1.5366019387863339</c:v>
                </c:pt>
                <c:pt idx="9">
                  <c:v>-2.0365833922448435</c:v>
                </c:pt>
                <c:pt idx="10">
                  <c:v>-2.536564845703353</c:v>
                </c:pt>
                <c:pt idx="11">
                  <c:v>-3.036546299161863</c:v>
                </c:pt>
                <c:pt idx="12">
                  <c:v>-3.536527752620372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data'!$R$24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data'!$R$25:$R$37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-0.09419660992538442</c:v>
                </c:pt>
                <c:pt idx="4">
                  <c:v>-0.2826430595608737</c:v>
                </c:pt>
                <c:pt idx="5">
                  <c:v>-0.4919236469359407</c:v>
                </c:pt>
                <c:pt idx="6">
                  <c:v>-0.9464622417365636</c:v>
                </c:pt>
                <c:pt idx="7">
                  <c:v>-1.233724463727066</c:v>
                </c:pt>
                <c:pt idx="8">
                  <c:v>-1.4312897669272182</c:v>
                </c:pt>
                <c:pt idx="9">
                  <c:v>-1.9312712203857276</c:v>
                </c:pt>
                <c:pt idx="10">
                  <c:v>-2.431240845003188</c:v>
                </c:pt>
                <c:pt idx="11">
                  <c:v>-2.9312222984616976</c:v>
                </c:pt>
                <c:pt idx="12">
                  <c:v>-3.4311919230791585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data'!$S$24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data'!$S$25:$S$37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-0.025200162970758225</c:v>
                </c:pt>
                <c:pt idx="4">
                  <c:v>-0.20536287521964314</c:v>
                </c:pt>
                <c:pt idx="5">
                  <c:v>-0.4063183242644343</c:v>
                </c:pt>
                <c:pt idx="6">
                  <c:v>-0.8480273580633277</c:v>
                </c:pt>
                <c:pt idx="7">
                  <c:v>-1.1312985290839026</c:v>
                </c:pt>
                <c:pt idx="8">
                  <c:v>-1.32775192122545</c:v>
                </c:pt>
                <c:pt idx="9">
                  <c:v>-1.826585977102208</c:v>
                </c:pt>
                <c:pt idx="10">
                  <c:v>-2.3256684386409945</c:v>
                </c:pt>
                <c:pt idx="11">
                  <c:v>-2.824987477000761</c:v>
                </c:pt>
                <c:pt idx="12">
                  <c:v>-3.3245430921815067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data'!$T$24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data'!$T$25:$T$37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-0.09013103725684819</c:v>
                </c:pt>
                <c:pt idx="5">
                  <c:v>-0.27487860829631977</c:v>
                </c:pt>
                <c:pt idx="6">
                  <c:v>-0.6892594706197425</c:v>
                </c:pt>
                <c:pt idx="7">
                  <c:v>-0.9588269292850679</c:v>
                </c:pt>
                <c:pt idx="8">
                  <c:v>-1.146845174874584</c:v>
                </c:pt>
                <c:pt idx="9">
                  <c:v>-1.6269979420826794</c:v>
                </c:pt>
                <c:pt idx="10">
                  <c:v>-2.1107620544630303</c:v>
                </c:pt>
                <c:pt idx="11">
                  <c:v>-2.5981339633633214</c:v>
                </c:pt>
                <c:pt idx="12">
                  <c:v>-3.089113668783553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data'!$U$24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data'!$U$25:$U$37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-0.125058056222187</c:v>
                </c:pt>
                <c:pt idx="6">
                  <c:v>-0.5025341173568806</c:v>
                </c:pt>
                <c:pt idx="7">
                  <c:v>-0.7509350478491518</c:v>
                </c:pt>
                <c:pt idx="8">
                  <c:v>-0.924868692401641</c:v>
                </c:pt>
                <c:pt idx="9">
                  <c:v>-1.372772490257888</c:v>
                </c:pt>
                <c:pt idx="10">
                  <c:v>-1.8301346294169036</c:v>
                </c:pt>
                <c:pt idx="11">
                  <c:v>-2.296971670256156</c:v>
                </c:pt>
                <c:pt idx="12">
                  <c:v>-2.7732836127756464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'bonjeans data'!$V$24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data'!$V$25:$V$37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-0.015269850910135089</c:v>
                </c:pt>
                <c:pt idx="6">
                  <c:v>-0.34590725014316165</c:v>
                </c:pt>
                <c:pt idx="7">
                  <c:v>-0.5747255342788378</c:v>
                </c:pt>
                <c:pt idx="8">
                  <c:v>-0.735041817015735</c:v>
                </c:pt>
                <c:pt idx="9">
                  <c:v>-1.1516299410788984</c:v>
                </c:pt>
                <c:pt idx="10">
                  <c:v>-1.5833613474529726</c:v>
                </c:pt>
                <c:pt idx="11">
                  <c:v>-2.0302549622836366</c:v>
                </c:pt>
                <c:pt idx="12">
                  <c:v>-2.492277664815952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'bonjeans data'!$W$24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data'!$W$25:$W$37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-0.11956829109135295</c:v>
                </c:pt>
                <c:pt idx="7">
                  <c:v>-0.22839717739433216</c:v>
                </c:pt>
                <c:pt idx="8">
                  <c:v>-0.30397400862450885</c:v>
                </c:pt>
                <c:pt idx="9">
                  <c:v>-0.5017865346025847</c:v>
                </c:pt>
                <c:pt idx="10">
                  <c:v>-0.7090160009397577</c:v>
                </c:pt>
                <c:pt idx="11">
                  <c:v>-0.9256624076360278</c:v>
                </c:pt>
                <c:pt idx="12">
                  <c:v>-1.1517257546913953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8006587"/>
        <c:axId val="4950420"/>
      </c:scatterChart>
      <c:valAx>
        <c:axId val="80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0420"/>
        <c:crosses val="autoZero"/>
        <c:crossBetween val="midCat"/>
        <c:dispUnits/>
      </c:valAx>
      <c:valAx>
        <c:axId val="4950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065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44553781"/>
        <c:axId val="65439710"/>
      </c:scatterChart>
      <c:valAx>
        <c:axId val="44553781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439710"/>
        <c:crosses val="autoZero"/>
        <c:crossBetween val="midCat"/>
        <c:dispUnits/>
      </c:valAx>
      <c:valAx>
        <c:axId val="6543971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537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trochoid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trochoid!$C$8:$C$44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trochoid!$D$8:$D$44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-cos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trochoid!$F$8:$F$44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trochoid!$E$8:$E$44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trochoid2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trochoid!$G$8:$G$44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trochoid!$D$8:$D$44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52086479"/>
        <c:axId val="66125128"/>
      </c:scatterChart>
      <c:valAx>
        <c:axId val="52086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25128"/>
        <c:crosses val="autoZero"/>
        <c:crossBetween val="midCat"/>
        <c:dispUnits/>
      </c:valAx>
      <c:valAx>
        <c:axId val="66125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864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comparison of trochoidal wave and 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'wave data'!$B$5</c:f>
              <c:strCache>
                <c:ptCount val="1"/>
                <c:pt idx="0">
                  <c:v>trochoidal wave hogging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data'!$B$7:$B$43</c:f>
              <c:numCache>
                <c:ptCount val="37"/>
                <c:pt idx="0">
                  <c:v>0</c:v>
                </c:pt>
                <c:pt idx="1">
                  <c:v>16.2289446167476</c:v>
                </c:pt>
                <c:pt idx="2">
                  <c:v>32.336147001036906</c:v>
                </c:pt>
                <c:pt idx="3">
                  <c:v>48.20356399653833</c:v>
                </c:pt>
                <c:pt idx="4">
                  <c:v>63.720438204623335</c:v>
                </c:pt>
                <c:pt idx="5">
                  <c:v>78.78666329187584</c:v>
                </c:pt>
                <c:pt idx="6">
                  <c:v>93.31582567037677</c:v>
                </c:pt>
                <c:pt idx="7">
                  <c:v>107.23783013084567</c:v>
                </c:pt>
                <c:pt idx="8">
                  <c:v>120.5010296501047</c:v>
                </c:pt>
                <c:pt idx="9">
                  <c:v>133.07379465974333</c:v>
                </c:pt>
                <c:pt idx="10">
                  <c:v>144.94547409454916</c:v>
                </c:pt>
                <c:pt idx="11">
                  <c:v>156.12671901973457</c:v>
                </c:pt>
                <c:pt idx="12">
                  <c:v>166.6491590037101</c:v>
                </c:pt>
                <c:pt idx="13">
                  <c:v>176.5644410696536</c:v>
                </c:pt>
                <c:pt idx="14">
                  <c:v>185.94266042684558</c:v>
                </c:pt>
                <c:pt idx="15">
                  <c:v>194.870230663205</c:v>
                </c:pt>
                <c:pt idx="16">
                  <c:v>203.447258112148</c:v>
                </c:pt>
                <c:pt idx="17">
                  <c:v>211.78450017230315</c:v>
                </c:pt>
                <c:pt idx="18">
                  <c:v>220</c:v>
                </c:pt>
                <c:pt idx="19">
                  <c:v>228.21549982769685</c:v>
                </c:pt>
                <c:pt idx="20">
                  <c:v>236.552741887852</c:v>
                </c:pt>
                <c:pt idx="21">
                  <c:v>245.12976933679502</c:v>
                </c:pt>
                <c:pt idx="22">
                  <c:v>254.05733957315445</c:v>
                </c:pt>
                <c:pt idx="23">
                  <c:v>263.43555893034636</c:v>
                </c:pt>
                <c:pt idx="24">
                  <c:v>273.3508409962899</c:v>
                </c:pt>
                <c:pt idx="25">
                  <c:v>283.8732809802654</c:v>
                </c:pt>
                <c:pt idx="26">
                  <c:v>295.0545259054509</c:v>
                </c:pt>
                <c:pt idx="27">
                  <c:v>306.9262053402567</c:v>
                </c:pt>
                <c:pt idx="28">
                  <c:v>319.49897034989533</c:v>
                </c:pt>
                <c:pt idx="29">
                  <c:v>332.7621698691544</c:v>
                </c:pt>
                <c:pt idx="30">
                  <c:v>346.68417432962326</c:v>
                </c:pt>
                <c:pt idx="31">
                  <c:v>361.2133367081242</c:v>
                </c:pt>
                <c:pt idx="32">
                  <c:v>376.27956179537665</c:v>
                </c:pt>
                <c:pt idx="33">
                  <c:v>391.7964360034616</c:v>
                </c:pt>
                <c:pt idx="34">
                  <c:v>407.6638529989631</c:v>
                </c:pt>
                <c:pt idx="35">
                  <c:v>423.7710553832524</c:v>
                </c:pt>
                <c:pt idx="36">
                  <c:v>440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0.17527139370820818</c:v>
                </c:pt>
                <c:pt idx="2">
                  <c:v>0.6957600422266111</c:v>
                </c:pt>
                <c:pt idx="3">
                  <c:v>1.545651161349944</c:v>
                </c:pt>
                <c:pt idx="4">
                  <c:v>2.6991212394893016</c:v>
                </c:pt>
                <c:pt idx="5">
                  <c:v>4.12112267200444</c:v>
                </c:pt>
                <c:pt idx="6">
                  <c:v>5.768448664935833</c:v>
                </c:pt>
                <c:pt idx="7">
                  <c:v>7.591046051575433</c:v>
                </c:pt>
                <c:pt idx="8">
                  <c:v>9.533536132608978</c:v>
                </c:pt>
                <c:pt idx="9">
                  <c:v>11.536897329871666</c:v>
                </c:pt>
                <c:pt idx="10">
                  <c:v>13.540258527134357</c:v>
                </c:pt>
                <c:pt idx="11">
                  <c:v>15.482748608167899</c:v>
                </c:pt>
                <c:pt idx="12">
                  <c:v>17.3053459948075</c:v>
                </c:pt>
                <c:pt idx="13">
                  <c:v>18.952671987738892</c:v>
                </c:pt>
                <c:pt idx="14">
                  <c:v>20.374673420254034</c:v>
                </c:pt>
                <c:pt idx="15">
                  <c:v>21.528143498393394</c:v>
                </c:pt>
                <c:pt idx="16">
                  <c:v>22.378034617516725</c:v>
                </c:pt>
                <c:pt idx="17">
                  <c:v>22.898523266035127</c:v>
                </c:pt>
                <c:pt idx="18">
                  <c:v>23.073794659743335</c:v>
                </c:pt>
                <c:pt idx="19">
                  <c:v>22.898523266035127</c:v>
                </c:pt>
                <c:pt idx="20">
                  <c:v>22.378034617516725</c:v>
                </c:pt>
                <c:pt idx="21">
                  <c:v>21.52814349839339</c:v>
                </c:pt>
                <c:pt idx="22">
                  <c:v>20.374673420254034</c:v>
                </c:pt>
                <c:pt idx="23">
                  <c:v>18.952671987738896</c:v>
                </c:pt>
                <c:pt idx="24">
                  <c:v>17.305345994807507</c:v>
                </c:pt>
                <c:pt idx="25">
                  <c:v>15.482748608167897</c:v>
                </c:pt>
                <c:pt idx="26">
                  <c:v>13.540258527134357</c:v>
                </c:pt>
                <c:pt idx="27">
                  <c:v>11.53689732987167</c:v>
                </c:pt>
                <c:pt idx="28">
                  <c:v>9.533536132608981</c:v>
                </c:pt>
                <c:pt idx="29">
                  <c:v>7.591046051575432</c:v>
                </c:pt>
                <c:pt idx="30">
                  <c:v>5.768448664935833</c:v>
                </c:pt>
                <c:pt idx="31">
                  <c:v>4.121122672004441</c:v>
                </c:pt>
                <c:pt idx="32">
                  <c:v>2.6991212394893043</c:v>
                </c:pt>
                <c:pt idx="33">
                  <c:v>1.5456511613499477</c:v>
                </c:pt>
                <c:pt idx="34">
                  <c:v>0.6957600422266111</c:v>
                </c:pt>
                <c:pt idx="35">
                  <c:v>0.17527139370820818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'wave data'!$H$31</c:f>
              <c:strCache>
                <c:ptCount val="1"/>
                <c:pt idx="0">
                  <c:v>interpolation routine for trochoidal fit sagging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'wave data'!$P$7:$P$27</c:f>
              <c:numCache>
                <c:ptCount val="21"/>
                <c:pt idx="0">
                  <c:v>0</c:v>
                </c:pt>
                <c:pt idx="1">
                  <c:v>22.020255349780417</c:v>
                </c:pt>
                <c:pt idx="2">
                  <c:v>44.02974821309559</c:v>
                </c:pt>
                <c:pt idx="3">
                  <c:v>66.03123305603874</c:v>
                </c:pt>
                <c:pt idx="4">
                  <c:v>88.06710987633434</c:v>
                </c:pt>
                <c:pt idx="5">
                  <c:v>110.05567028082538</c:v>
                </c:pt>
                <c:pt idx="6">
                  <c:v>132.02737519793203</c:v>
                </c:pt>
                <c:pt idx="7">
                  <c:v>154.05198743764802</c:v>
                </c:pt>
                <c:pt idx="8">
                  <c:v>176.0151586790678</c:v>
                </c:pt>
                <c:pt idx="9">
                  <c:v>198.03497631351308</c:v>
                </c:pt>
                <c:pt idx="10">
                  <c:v>220</c:v>
                </c:pt>
                <c:pt idx="11">
                  <c:v>241.96502368648692</c:v>
                </c:pt>
                <c:pt idx="12">
                  <c:v>263.9848413209322</c:v>
                </c:pt>
                <c:pt idx="13">
                  <c:v>285.948012562352</c:v>
                </c:pt>
                <c:pt idx="14">
                  <c:v>307.97262480206797</c:v>
                </c:pt>
                <c:pt idx="15">
                  <c:v>329.9443297191746</c:v>
                </c:pt>
                <c:pt idx="16">
                  <c:v>351.9328901236656</c:v>
                </c:pt>
                <c:pt idx="17">
                  <c:v>373.9687669439612</c:v>
                </c:pt>
                <c:pt idx="18">
                  <c:v>395.97025178690444</c:v>
                </c:pt>
                <c:pt idx="19">
                  <c:v>417.97974465021963</c:v>
                </c:pt>
                <c:pt idx="20">
                  <c:v>440</c:v>
                </c:pt>
              </c:numCache>
            </c:numRef>
          </c:xVal>
          <c:yVal>
            <c:numRef>
              <c:f>'wave data'!$Q$7:$Q$27</c:f>
              <c:numCache>
                <c:ptCount val="21"/>
                <c:pt idx="0">
                  <c:v>0</c:v>
                </c:pt>
                <c:pt idx="1">
                  <c:v>0.32267408666091746</c:v>
                </c:pt>
                <c:pt idx="2">
                  <c:v>1.289708945542517</c:v>
                </c:pt>
                <c:pt idx="3">
                  <c:v>2.898010512002151</c:v>
                </c:pt>
                <c:pt idx="4">
                  <c:v>5.142629627433839</c:v>
                </c:pt>
                <c:pt idx="5">
                  <c:v>7.98761825948765</c:v>
                </c:pt>
                <c:pt idx="6">
                  <c:v>11.364932056891252</c:v>
                </c:pt>
                <c:pt idx="7">
                  <c:v>15.120748699179519</c:v>
                </c:pt>
                <c:pt idx="8">
                  <c:v>18.86449945097788</c:v>
                </c:pt>
                <c:pt idx="9">
                  <c:v>21.875016404484857</c:v>
                </c:pt>
                <c:pt idx="10">
                  <c:v>23.073794659743335</c:v>
                </c:pt>
                <c:pt idx="11">
                  <c:v>21.87501640448486</c:v>
                </c:pt>
                <c:pt idx="12">
                  <c:v>18.864499450977878</c:v>
                </c:pt>
                <c:pt idx="13">
                  <c:v>15.120748699179519</c:v>
                </c:pt>
                <c:pt idx="14">
                  <c:v>11.364932056891243</c:v>
                </c:pt>
                <c:pt idx="15">
                  <c:v>7.987618259487653</c:v>
                </c:pt>
                <c:pt idx="16">
                  <c:v>5.142629627433844</c:v>
                </c:pt>
                <c:pt idx="17">
                  <c:v>2.8980105120021524</c:v>
                </c:pt>
                <c:pt idx="18">
                  <c:v>1.2897089455425146</c:v>
                </c:pt>
                <c:pt idx="19">
                  <c:v>0.32267408666091746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sinusoidal hogging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12.222222222222221</c:v>
                </c:pt>
                <c:pt idx="2">
                  <c:v>24.444444444444443</c:v>
                </c:pt>
                <c:pt idx="3">
                  <c:v>36.666666666666664</c:v>
                </c:pt>
                <c:pt idx="4">
                  <c:v>48.888888888888886</c:v>
                </c:pt>
                <c:pt idx="5">
                  <c:v>61.111111111111114</c:v>
                </c:pt>
                <c:pt idx="6">
                  <c:v>73.33333333333333</c:v>
                </c:pt>
                <c:pt idx="7">
                  <c:v>85.55555555555556</c:v>
                </c:pt>
                <c:pt idx="8">
                  <c:v>97.77777777777777</c:v>
                </c:pt>
                <c:pt idx="9">
                  <c:v>110</c:v>
                </c:pt>
                <c:pt idx="10">
                  <c:v>122.22222222222223</c:v>
                </c:pt>
                <c:pt idx="11">
                  <c:v>134.44444444444446</c:v>
                </c:pt>
                <c:pt idx="12">
                  <c:v>146.66666666666666</c:v>
                </c:pt>
                <c:pt idx="13">
                  <c:v>158.88888888888889</c:v>
                </c:pt>
                <c:pt idx="14">
                  <c:v>171.11111111111111</c:v>
                </c:pt>
                <c:pt idx="15">
                  <c:v>183.33333333333334</c:v>
                </c:pt>
                <c:pt idx="16">
                  <c:v>195.55555555555554</c:v>
                </c:pt>
                <c:pt idx="17">
                  <c:v>207.77777777777777</c:v>
                </c:pt>
                <c:pt idx="18">
                  <c:v>220</c:v>
                </c:pt>
                <c:pt idx="19">
                  <c:v>232.22222222222223</c:v>
                </c:pt>
                <c:pt idx="20">
                  <c:v>244.44444444444446</c:v>
                </c:pt>
                <c:pt idx="21">
                  <c:v>256.6666666666667</c:v>
                </c:pt>
                <c:pt idx="22">
                  <c:v>268.8888888888889</c:v>
                </c:pt>
                <c:pt idx="23">
                  <c:v>281.1111111111111</c:v>
                </c:pt>
                <c:pt idx="24">
                  <c:v>293.3333333333333</c:v>
                </c:pt>
                <c:pt idx="25">
                  <c:v>305.55555555555554</c:v>
                </c:pt>
                <c:pt idx="26">
                  <c:v>317.77777777777777</c:v>
                </c:pt>
                <c:pt idx="27">
                  <c:v>330</c:v>
                </c:pt>
                <c:pt idx="28">
                  <c:v>342.22222222222223</c:v>
                </c:pt>
                <c:pt idx="29">
                  <c:v>354.44444444444446</c:v>
                </c:pt>
                <c:pt idx="30">
                  <c:v>366.6666666666667</c:v>
                </c:pt>
                <c:pt idx="31">
                  <c:v>378.8888888888889</c:v>
                </c:pt>
                <c:pt idx="32">
                  <c:v>391.1111111111111</c:v>
                </c:pt>
                <c:pt idx="33">
                  <c:v>403.3333333333333</c:v>
                </c:pt>
                <c:pt idx="34">
                  <c:v>415.55555555555554</c:v>
                </c:pt>
                <c:pt idx="35">
                  <c:v>427.77777777777777</c:v>
                </c:pt>
                <c:pt idx="36">
                  <c:v>440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0.17527139370820818</c:v>
                </c:pt>
                <c:pt idx="2">
                  <c:v>0.6957600422266111</c:v>
                </c:pt>
                <c:pt idx="3">
                  <c:v>1.545651161349944</c:v>
                </c:pt>
                <c:pt idx="4">
                  <c:v>2.6991212394893016</c:v>
                </c:pt>
                <c:pt idx="5">
                  <c:v>4.12112267200444</c:v>
                </c:pt>
                <c:pt idx="6">
                  <c:v>5.768448664935833</c:v>
                </c:pt>
                <c:pt idx="7">
                  <c:v>7.591046051575433</c:v>
                </c:pt>
                <c:pt idx="8">
                  <c:v>9.533536132608978</c:v>
                </c:pt>
                <c:pt idx="9">
                  <c:v>11.536897329871666</c:v>
                </c:pt>
                <c:pt idx="10">
                  <c:v>13.540258527134357</c:v>
                </c:pt>
                <c:pt idx="11">
                  <c:v>15.482748608167899</c:v>
                </c:pt>
                <c:pt idx="12">
                  <c:v>17.3053459948075</c:v>
                </c:pt>
                <c:pt idx="13">
                  <c:v>18.952671987738892</c:v>
                </c:pt>
                <c:pt idx="14">
                  <c:v>20.374673420254034</c:v>
                </c:pt>
                <c:pt idx="15">
                  <c:v>21.528143498393394</c:v>
                </c:pt>
                <c:pt idx="16">
                  <c:v>22.378034617516725</c:v>
                </c:pt>
                <c:pt idx="17">
                  <c:v>22.898523266035127</c:v>
                </c:pt>
                <c:pt idx="18">
                  <c:v>23.073794659743335</c:v>
                </c:pt>
                <c:pt idx="19">
                  <c:v>22.898523266035127</c:v>
                </c:pt>
                <c:pt idx="20">
                  <c:v>22.378034617516725</c:v>
                </c:pt>
                <c:pt idx="21">
                  <c:v>21.52814349839339</c:v>
                </c:pt>
                <c:pt idx="22">
                  <c:v>20.374673420254034</c:v>
                </c:pt>
                <c:pt idx="23">
                  <c:v>18.952671987738896</c:v>
                </c:pt>
                <c:pt idx="24">
                  <c:v>17.305345994807507</c:v>
                </c:pt>
                <c:pt idx="25">
                  <c:v>15.482748608167897</c:v>
                </c:pt>
                <c:pt idx="26">
                  <c:v>13.540258527134357</c:v>
                </c:pt>
                <c:pt idx="27">
                  <c:v>11.53689732987167</c:v>
                </c:pt>
                <c:pt idx="28">
                  <c:v>9.533536132608981</c:v>
                </c:pt>
                <c:pt idx="29">
                  <c:v>7.591046051575432</c:v>
                </c:pt>
                <c:pt idx="30">
                  <c:v>5.768448664935833</c:v>
                </c:pt>
                <c:pt idx="31">
                  <c:v>4.121122672004441</c:v>
                </c:pt>
                <c:pt idx="32">
                  <c:v>2.6991212394893043</c:v>
                </c:pt>
                <c:pt idx="33">
                  <c:v>1.5456511613499477</c:v>
                </c:pt>
                <c:pt idx="34">
                  <c:v>0.6957600422266111</c:v>
                </c:pt>
                <c:pt idx="35">
                  <c:v>0.17527139370820818</c:v>
                </c:pt>
                <c:pt idx="36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'wave data'!$Q$32</c:f>
              <c:strCache>
                <c:ptCount val="1"/>
                <c:pt idx="0">
                  <c:v>interpolated y calc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'wave data'!$P$33:$P$53</c:f>
              <c:numCache>
                <c:ptCount val="21"/>
                <c:pt idx="0">
                  <c:v>0</c:v>
                </c:pt>
                <c:pt idx="1">
                  <c:v>21.965023686486944</c:v>
                </c:pt>
                <c:pt idx="2">
                  <c:v>43.98484132093221</c:v>
                </c:pt>
                <c:pt idx="3">
                  <c:v>65.94801256235198</c:v>
                </c:pt>
                <c:pt idx="4">
                  <c:v>87.97262480206797</c:v>
                </c:pt>
                <c:pt idx="5">
                  <c:v>109.94432971917459</c:v>
                </c:pt>
                <c:pt idx="6">
                  <c:v>131.9328901236657</c:v>
                </c:pt>
                <c:pt idx="7">
                  <c:v>153.96876694396127</c:v>
                </c:pt>
                <c:pt idx="8">
                  <c:v>175.97025178690444</c:v>
                </c:pt>
                <c:pt idx="9">
                  <c:v>197.97974465021957</c:v>
                </c:pt>
                <c:pt idx="10">
                  <c:v>219.99999999999997</c:v>
                </c:pt>
                <c:pt idx="11">
                  <c:v>242.02025534978043</c:v>
                </c:pt>
                <c:pt idx="12">
                  <c:v>264.02974821309556</c:v>
                </c:pt>
                <c:pt idx="13">
                  <c:v>286.0312330560388</c:v>
                </c:pt>
                <c:pt idx="14">
                  <c:v>308.06710987633437</c:v>
                </c:pt>
                <c:pt idx="15">
                  <c:v>330.0556702808253</c:v>
                </c:pt>
                <c:pt idx="16">
                  <c:v>352.02737519793203</c:v>
                </c:pt>
                <c:pt idx="17">
                  <c:v>374.05198743764805</c:v>
                </c:pt>
                <c:pt idx="18">
                  <c:v>396.0151586790678</c:v>
                </c:pt>
                <c:pt idx="19">
                  <c:v>418.034976313513</c:v>
                </c:pt>
                <c:pt idx="20">
                  <c:v>439.99999999999994</c:v>
                </c:pt>
              </c:numCache>
            </c:numRef>
          </c:xVal>
          <c:yVal>
            <c:numRef>
              <c:f>'wave data'!$Q$33:$Q$53</c:f>
              <c:numCache>
                <c:ptCount val="21"/>
                <c:pt idx="0">
                  <c:v>23.073794659743335</c:v>
                </c:pt>
                <c:pt idx="1">
                  <c:v>21.875016404484857</c:v>
                </c:pt>
                <c:pt idx="2">
                  <c:v>18.86449945097788</c:v>
                </c:pt>
                <c:pt idx="3">
                  <c:v>15.120748699179519</c:v>
                </c:pt>
                <c:pt idx="4">
                  <c:v>11.364932056891252</c:v>
                </c:pt>
                <c:pt idx="5">
                  <c:v>7.987618259487654</c:v>
                </c:pt>
                <c:pt idx="6">
                  <c:v>5.142629627433839</c:v>
                </c:pt>
                <c:pt idx="7">
                  <c:v>2.898010512002151</c:v>
                </c:pt>
                <c:pt idx="8">
                  <c:v>1.289708945542517</c:v>
                </c:pt>
                <c:pt idx="9">
                  <c:v>0.32267408666091746</c:v>
                </c:pt>
                <c:pt idx="10">
                  <c:v>0</c:v>
                </c:pt>
                <c:pt idx="11">
                  <c:v>0.3226740866609162</c:v>
                </c:pt>
                <c:pt idx="12">
                  <c:v>1.2897089455425133</c:v>
                </c:pt>
                <c:pt idx="13">
                  <c:v>2.8980105120021498</c:v>
                </c:pt>
                <c:pt idx="14">
                  <c:v>5.142629627433832</c:v>
                </c:pt>
                <c:pt idx="15">
                  <c:v>7.98761825948764</c:v>
                </c:pt>
                <c:pt idx="16">
                  <c:v>11.36493205689125</c:v>
                </c:pt>
                <c:pt idx="17">
                  <c:v>15.120748699179513</c:v>
                </c:pt>
                <c:pt idx="18">
                  <c:v>18.864499450977878</c:v>
                </c:pt>
                <c:pt idx="19">
                  <c:v>21.87501640448485</c:v>
                </c:pt>
                <c:pt idx="20">
                  <c:v>23.073794659743335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'wave data'!$D$5</c:f>
              <c:strCache>
                <c:ptCount val="1"/>
                <c:pt idx="0">
                  <c:v>trochoidal wave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'wave data'!$D$7:$D$43</c:f>
              <c:numCache>
                <c:ptCount val="37"/>
                <c:pt idx="0">
                  <c:v>0</c:v>
                </c:pt>
                <c:pt idx="1">
                  <c:v>8.215499827696846</c:v>
                </c:pt>
                <c:pt idx="2">
                  <c:v>16.55274188785198</c:v>
                </c:pt>
                <c:pt idx="3">
                  <c:v>25.129769336795007</c:v>
                </c:pt>
                <c:pt idx="4">
                  <c:v>34.05733957315444</c:v>
                </c:pt>
                <c:pt idx="5">
                  <c:v>43.43555893034638</c:v>
                </c:pt>
                <c:pt idx="6">
                  <c:v>53.3508409962899</c:v>
                </c:pt>
                <c:pt idx="7">
                  <c:v>63.87328098026545</c:v>
                </c:pt>
                <c:pt idx="8">
                  <c:v>75.05452590545087</c:v>
                </c:pt>
                <c:pt idx="9">
                  <c:v>86.92620534025667</c:v>
                </c:pt>
                <c:pt idx="10">
                  <c:v>99.4989703498953</c:v>
                </c:pt>
                <c:pt idx="11">
                  <c:v>112.76216986915435</c:v>
                </c:pt>
                <c:pt idx="12">
                  <c:v>126.68417432962323</c:v>
                </c:pt>
                <c:pt idx="13">
                  <c:v>141.2133367081242</c:v>
                </c:pt>
                <c:pt idx="14">
                  <c:v>156.27956179537665</c:v>
                </c:pt>
                <c:pt idx="15">
                  <c:v>171.79643600346168</c:v>
                </c:pt>
                <c:pt idx="16">
                  <c:v>187.6638529989631</c:v>
                </c:pt>
                <c:pt idx="17">
                  <c:v>203.77105538325242</c:v>
                </c:pt>
                <c:pt idx="18">
                  <c:v>220.00000000000003</c:v>
                </c:pt>
                <c:pt idx="19">
                  <c:v>236.2289446167476</c:v>
                </c:pt>
                <c:pt idx="20">
                  <c:v>252.33614700103692</c:v>
                </c:pt>
                <c:pt idx="21">
                  <c:v>268.2035639965384</c:v>
                </c:pt>
                <c:pt idx="22">
                  <c:v>283.72043820462335</c:v>
                </c:pt>
                <c:pt idx="23">
                  <c:v>298.78666329187587</c:v>
                </c:pt>
                <c:pt idx="24">
                  <c:v>313.3158256703768</c:v>
                </c:pt>
                <c:pt idx="25">
                  <c:v>327.23783013084574</c:v>
                </c:pt>
                <c:pt idx="26">
                  <c:v>340.5010296501047</c:v>
                </c:pt>
                <c:pt idx="27">
                  <c:v>353.0737946597433</c:v>
                </c:pt>
                <c:pt idx="28">
                  <c:v>364.9454740945491</c:v>
                </c:pt>
                <c:pt idx="29">
                  <c:v>376.12671901973454</c:v>
                </c:pt>
                <c:pt idx="30">
                  <c:v>386.6491590037101</c:v>
                </c:pt>
                <c:pt idx="31">
                  <c:v>396.56444106965364</c:v>
                </c:pt>
                <c:pt idx="32">
                  <c:v>405.9426604268456</c:v>
                </c:pt>
                <c:pt idx="33">
                  <c:v>414.87023066320506</c:v>
                </c:pt>
                <c:pt idx="34">
                  <c:v>423.44725811214806</c:v>
                </c:pt>
                <c:pt idx="35">
                  <c:v>431.7845001723032</c:v>
                </c:pt>
                <c:pt idx="36">
                  <c:v>440.00000000000006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23.073794659743335</c:v>
                </c:pt>
                <c:pt idx="1">
                  <c:v>22.898523266035127</c:v>
                </c:pt>
                <c:pt idx="2">
                  <c:v>22.378034617516725</c:v>
                </c:pt>
                <c:pt idx="3">
                  <c:v>21.528143498393394</c:v>
                </c:pt>
                <c:pt idx="4">
                  <c:v>20.374673420254034</c:v>
                </c:pt>
                <c:pt idx="5">
                  <c:v>18.952671987738892</c:v>
                </c:pt>
                <c:pt idx="6">
                  <c:v>17.305345994807503</c:v>
                </c:pt>
                <c:pt idx="7">
                  <c:v>15.482748608167903</c:v>
                </c:pt>
                <c:pt idx="8">
                  <c:v>13.540258527134359</c:v>
                </c:pt>
                <c:pt idx="9">
                  <c:v>11.536897329871667</c:v>
                </c:pt>
                <c:pt idx="10">
                  <c:v>9.533536132608978</c:v>
                </c:pt>
                <c:pt idx="11">
                  <c:v>7.591046051575436</c:v>
                </c:pt>
                <c:pt idx="12">
                  <c:v>5.768448664935836</c:v>
                </c:pt>
                <c:pt idx="13">
                  <c:v>4.12112267200444</c:v>
                </c:pt>
                <c:pt idx="14">
                  <c:v>2.699121239489303</c:v>
                </c:pt>
                <c:pt idx="15">
                  <c:v>1.545651161349944</c:v>
                </c:pt>
                <c:pt idx="16">
                  <c:v>0.6957600422266125</c:v>
                </c:pt>
                <c:pt idx="17">
                  <c:v>0.17527139370820818</c:v>
                </c:pt>
                <c:pt idx="18">
                  <c:v>0</c:v>
                </c:pt>
                <c:pt idx="19">
                  <c:v>0.17527139370820818</c:v>
                </c:pt>
                <c:pt idx="20">
                  <c:v>0.6957600422266111</c:v>
                </c:pt>
                <c:pt idx="21">
                  <c:v>1.545651161349945</c:v>
                </c:pt>
                <c:pt idx="22">
                  <c:v>2.6991212394893016</c:v>
                </c:pt>
                <c:pt idx="23">
                  <c:v>4.1211226720044385</c:v>
                </c:pt>
                <c:pt idx="24">
                  <c:v>5.768448664935828</c:v>
                </c:pt>
                <c:pt idx="25">
                  <c:v>7.591046051575437</c:v>
                </c:pt>
                <c:pt idx="26">
                  <c:v>9.533536132608978</c:v>
                </c:pt>
                <c:pt idx="27">
                  <c:v>11.536897329871666</c:v>
                </c:pt>
                <c:pt idx="28">
                  <c:v>13.540258527134354</c:v>
                </c:pt>
                <c:pt idx="29">
                  <c:v>15.482748608167903</c:v>
                </c:pt>
                <c:pt idx="30">
                  <c:v>17.305345994807503</c:v>
                </c:pt>
                <c:pt idx="31">
                  <c:v>18.952671987738892</c:v>
                </c:pt>
                <c:pt idx="32">
                  <c:v>20.374673420254034</c:v>
                </c:pt>
                <c:pt idx="33">
                  <c:v>21.528143498393387</c:v>
                </c:pt>
                <c:pt idx="34">
                  <c:v>22.378034617516725</c:v>
                </c:pt>
                <c:pt idx="35">
                  <c:v>22.898523266035127</c:v>
                </c:pt>
                <c:pt idx="36">
                  <c:v>23.073794659743335</c:v>
                </c:pt>
              </c:numCache>
            </c:numRef>
          </c:yVal>
          <c:smooth val="1"/>
        </c:ser>
        <c:ser>
          <c:idx val="5"/>
          <c:order val="5"/>
          <c:tx>
            <c:v>sinusoidal sagging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12.222222222222221</c:v>
                </c:pt>
                <c:pt idx="2">
                  <c:v>24.444444444444443</c:v>
                </c:pt>
                <c:pt idx="3">
                  <c:v>36.666666666666664</c:v>
                </c:pt>
                <c:pt idx="4">
                  <c:v>48.888888888888886</c:v>
                </c:pt>
                <c:pt idx="5">
                  <c:v>61.111111111111114</c:v>
                </c:pt>
                <c:pt idx="6">
                  <c:v>73.33333333333333</c:v>
                </c:pt>
                <c:pt idx="7">
                  <c:v>85.55555555555556</c:v>
                </c:pt>
                <c:pt idx="8">
                  <c:v>97.77777777777777</c:v>
                </c:pt>
                <c:pt idx="9">
                  <c:v>110</c:v>
                </c:pt>
                <c:pt idx="10">
                  <c:v>122.22222222222223</c:v>
                </c:pt>
                <c:pt idx="11">
                  <c:v>134.44444444444446</c:v>
                </c:pt>
                <c:pt idx="12">
                  <c:v>146.66666666666666</c:v>
                </c:pt>
                <c:pt idx="13">
                  <c:v>158.88888888888889</c:v>
                </c:pt>
                <c:pt idx="14">
                  <c:v>171.11111111111111</c:v>
                </c:pt>
                <c:pt idx="15">
                  <c:v>183.33333333333334</c:v>
                </c:pt>
                <c:pt idx="16">
                  <c:v>195.55555555555554</c:v>
                </c:pt>
                <c:pt idx="17">
                  <c:v>207.77777777777777</c:v>
                </c:pt>
                <c:pt idx="18">
                  <c:v>220</c:v>
                </c:pt>
                <c:pt idx="19">
                  <c:v>232.22222222222223</c:v>
                </c:pt>
                <c:pt idx="20">
                  <c:v>244.44444444444446</c:v>
                </c:pt>
                <c:pt idx="21">
                  <c:v>256.6666666666667</c:v>
                </c:pt>
                <c:pt idx="22">
                  <c:v>268.8888888888889</c:v>
                </c:pt>
                <c:pt idx="23">
                  <c:v>281.1111111111111</c:v>
                </c:pt>
                <c:pt idx="24">
                  <c:v>293.3333333333333</c:v>
                </c:pt>
                <c:pt idx="25">
                  <c:v>305.55555555555554</c:v>
                </c:pt>
                <c:pt idx="26">
                  <c:v>317.77777777777777</c:v>
                </c:pt>
                <c:pt idx="27">
                  <c:v>330</c:v>
                </c:pt>
                <c:pt idx="28">
                  <c:v>342.22222222222223</c:v>
                </c:pt>
                <c:pt idx="29">
                  <c:v>354.44444444444446</c:v>
                </c:pt>
                <c:pt idx="30">
                  <c:v>366.6666666666667</c:v>
                </c:pt>
                <c:pt idx="31">
                  <c:v>378.8888888888889</c:v>
                </c:pt>
                <c:pt idx="32">
                  <c:v>391.1111111111111</c:v>
                </c:pt>
                <c:pt idx="33">
                  <c:v>403.3333333333333</c:v>
                </c:pt>
                <c:pt idx="34">
                  <c:v>415.55555555555554</c:v>
                </c:pt>
                <c:pt idx="35">
                  <c:v>427.77777777777777</c:v>
                </c:pt>
                <c:pt idx="36">
                  <c:v>440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23.073794659743335</c:v>
                </c:pt>
                <c:pt idx="1">
                  <c:v>22.898523266035127</c:v>
                </c:pt>
                <c:pt idx="2">
                  <c:v>22.378034617516725</c:v>
                </c:pt>
                <c:pt idx="3">
                  <c:v>21.528143498393394</c:v>
                </c:pt>
                <c:pt idx="4">
                  <c:v>20.374673420254034</c:v>
                </c:pt>
                <c:pt idx="5">
                  <c:v>18.952671987738892</c:v>
                </c:pt>
                <c:pt idx="6">
                  <c:v>17.305345994807503</c:v>
                </c:pt>
                <c:pt idx="7">
                  <c:v>15.482748608167903</c:v>
                </c:pt>
                <c:pt idx="8">
                  <c:v>13.540258527134359</c:v>
                </c:pt>
                <c:pt idx="9">
                  <c:v>11.536897329871667</c:v>
                </c:pt>
                <c:pt idx="10">
                  <c:v>9.533536132608978</c:v>
                </c:pt>
                <c:pt idx="11">
                  <c:v>7.591046051575436</c:v>
                </c:pt>
                <c:pt idx="12">
                  <c:v>5.768448664935836</c:v>
                </c:pt>
                <c:pt idx="13">
                  <c:v>4.12112267200444</c:v>
                </c:pt>
                <c:pt idx="14">
                  <c:v>2.699121239489303</c:v>
                </c:pt>
                <c:pt idx="15">
                  <c:v>1.545651161349944</c:v>
                </c:pt>
                <c:pt idx="16">
                  <c:v>0.6957600422266125</c:v>
                </c:pt>
                <c:pt idx="17">
                  <c:v>0.17527139370820818</c:v>
                </c:pt>
                <c:pt idx="18">
                  <c:v>0</c:v>
                </c:pt>
                <c:pt idx="19">
                  <c:v>0.17527139370820818</c:v>
                </c:pt>
                <c:pt idx="20">
                  <c:v>0.6957600422266111</c:v>
                </c:pt>
                <c:pt idx="21">
                  <c:v>1.545651161349945</c:v>
                </c:pt>
                <c:pt idx="22">
                  <c:v>2.6991212394893016</c:v>
                </c:pt>
                <c:pt idx="23">
                  <c:v>4.1211226720044385</c:v>
                </c:pt>
                <c:pt idx="24">
                  <c:v>5.768448664935828</c:v>
                </c:pt>
                <c:pt idx="25">
                  <c:v>7.591046051575437</c:v>
                </c:pt>
                <c:pt idx="26">
                  <c:v>9.533536132608978</c:v>
                </c:pt>
                <c:pt idx="27">
                  <c:v>11.536897329871666</c:v>
                </c:pt>
                <c:pt idx="28">
                  <c:v>13.540258527134354</c:v>
                </c:pt>
                <c:pt idx="29">
                  <c:v>15.482748608167903</c:v>
                </c:pt>
                <c:pt idx="30">
                  <c:v>17.305345994807503</c:v>
                </c:pt>
                <c:pt idx="31">
                  <c:v>18.952671987738892</c:v>
                </c:pt>
                <c:pt idx="32">
                  <c:v>20.374673420254034</c:v>
                </c:pt>
                <c:pt idx="33">
                  <c:v>21.528143498393387</c:v>
                </c:pt>
                <c:pt idx="34">
                  <c:v>22.378034617516725</c:v>
                </c:pt>
                <c:pt idx="35">
                  <c:v>22.898523266035127</c:v>
                </c:pt>
                <c:pt idx="36">
                  <c:v>23.073794659743335</c:v>
                </c:pt>
              </c:numCache>
            </c:numRef>
          </c:yVal>
          <c:smooth val="1"/>
        </c:ser>
        <c:axId val="58255241"/>
        <c:axId val="54535122"/>
      </c:scatterChart>
      <c:valAx>
        <c:axId val="5825524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535122"/>
        <c:crosses val="autoZero"/>
        <c:crossBetween val="midCat"/>
        <c:dispUnits/>
      </c:valAx>
      <c:valAx>
        <c:axId val="54535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5524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comparison of trochoidal wave and 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'wave data'!$B$5</c:f>
              <c:strCache>
                <c:ptCount val="1"/>
                <c:pt idx="0">
                  <c:v>trochoidal wave hogging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data'!$B$7:$B$43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'wave data'!$H$31</c:f>
              <c:strCache>
                <c:ptCount val="1"/>
                <c:pt idx="0">
                  <c:v>interpolation routine for trochoidal fit sagging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'wave data'!$P$7:$P$27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data'!$Q$7:$Q$27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sinusoidal hogging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'wave data'!$Q$32</c:f>
              <c:strCache>
                <c:ptCount val="1"/>
                <c:pt idx="0">
                  <c:v>interpolated y calc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'wave data'!$P$33:$P$53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data'!$Q$33:$Q$53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'wave data'!$D$5</c:f>
              <c:strCache>
                <c:ptCount val="1"/>
                <c:pt idx="0">
                  <c:v>trochoidal wave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'wave data'!$D$7:$D$43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sinusoidal sagging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21054051"/>
        <c:axId val="55268732"/>
      </c:scatterChart>
      <c:valAx>
        <c:axId val="2105405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268732"/>
        <c:crosses val="autoZero"/>
        <c:crossBetween val="midCat"/>
        <c:dispUnits/>
      </c:valAx>
      <c:valAx>
        <c:axId val="55268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540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75"/>
  </sheetViews>
  <pageMargins left="0.75" right="0.75" top="1" bottom="1" header="0.5" footer="0.5"/>
  <pageSetup horizontalDpi="600" verticalDpi="600" orientation="landscape"/>
  <headerFooter>
    <oddFooter>&amp;C&amp;F, &amp;A&amp;R&amp;D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&amp;C&amp;F, &amp;A&amp;R&amp;D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&amp;C&amp;F,&amp;A&amp;R&amp;D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9</xdr:col>
      <xdr:colOff>47625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5476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26</xdr:row>
      <xdr:rowOff>85725</xdr:rowOff>
    </xdr:from>
    <xdr:to>
      <xdr:col>8</xdr:col>
      <xdr:colOff>419100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38100" y="4295775"/>
        <a:ext cx="52578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54</xdr:row>
      <xdr:rowOff>38100</xdr:rowOff>
    </xdr:from>
    <xdr:to>
      <xdr:col>10</xdr:col>
      <xdr:colOff>28575</xdr:colOff>
      <xdr:row>80</xdr:row>
      <xdr:rowOff>114300</xdr:rowOff>
    </xdr:to>
    <xdr:graphicFrame>
      <xdr:nvGraphicFramePr>
        <xdr:cNvPr id="3" name="Chart 3"/>
        <xdr:cNvGraphicFramePr/>
      </xdr:nvGraphicFramePr>
      <xdr:xfrm>
        <a:off x="38100" y="8782050"/>
        <a:ext cx="6086475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81</xdr:row>
      <xdr:rowOff>95250</xdr:rowOff>
    </xdr:from>
    <xdr:to>
      <xdr:col>8</xdr:col>
      <xdr:colOff>533400</xdr:colOff>
      <xdr:row>105</xdr:row>
      <xdr:rowOff>28575</xdr:rowOff>
    </xdr:to>
    <xdr:graphicFrame>
      <xdr:nvGraphicFramePr>
        <xdr:cNvPr id="4" name="Chart 4"/>
        <xdr:cNvGraphicFramePr/>
      </xdr:nvGraphicFramePr>
      <xdr:xfrm>
        <a:off x="57150" y="13211175"/>
        <a:ext cx="53530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76200</xdr:rowOff>
    </xdr:from>
    <xdr:to>
      <xdr:col>12</xdr:col>
      <xdr:colOff>600075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4629150" y="76200"/>
        <a:ext cx="3552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15</xdr:row>
      <xdr:rowOff>152400</xdr:rowOff>
    </xdr:from>
    <xdr:to>
      <xdr:col>13</xdr:col>
      <xdr:colOff>57150</xdr:colOff>
      <xdr:row>28</xdr:row>
      <xdr:rowOff>95250</xdr:rowOff>
    </xdr:to>
    <xdr:graphicFrame>
      <xdr:nvGraphicFramePr>
        <xdr:cNvPr id="2" name="Chart 2"/>
        <xdr:cNvGraphicFramePr/>
      </xdr:nvGraphicFramePr>
      <xdr:xfrm>
        <a:off x="4638675" y="2581275"/>
        <a:ext cx="36099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114300</xdr:rowOff>
    </xdr:from>
    <xdr:to>
      <xdr:col>13</xdr:col>
      <xdr:colOff>38100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4476750" y="114300"/>
        <a:ext cx="37528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15</xdr:row>
      <xdr:rowOff>28575</xdr:rowOff>
    </xdr:from>
    <xdr:to>
      <xdr:col>13</xdr:col>
      <xdr:colOff>38100</xdr:colOff>
      <xdr:row>28</xdr:row>
      <xdr:rowOff>28575</xdr:rowOff>
    </xdr:to>
    <xdr:graphicFrame>
      <xdr:nvGraphicFramePr>
        <xdr:cNvPr id="2" name="Chart 3"/>
        <xdr:cNvGraphicFramePr/>
      </xdr:nvGraphicFramePr>
      <xdr:xfrm>
        <a:off x="4457700" y="2457450"/>
        <a:ext cx="37719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4</xdr:row>
      <xdr:rowOff>133350</xdr:rowOff>
    </xdr:from>
    <xdr:to>
      <xdr:col>18</xdr:col>
      <xdr:colOff>561975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5200650" y="781050"/>
        <a:ext cx="6334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19</xdr:col>
      <xdr:colOff>571500</xdr:colOff>
      <xdr:row>60</xdr:row>
      <xdr:rowOff>19050</xdr:rowOff>
    </xdr:to>
    <xdr:graphicFrame>
      <xdr:nvGraphicFramePr>
        <xdr:cNvPr id="2" name="Chart 3"/>
        <xdr:cNvGraphicFramePr/>
      </xdr:nvGraphicFramePr>
      <xdr:xfrm>
        <a:off x="4876800" y="5505450"/>
        <a:ext cx="72771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38100</xdr:rowOff>
    </xdr:from>
    <xdr:to>
      <xdr:col>6</xdr:col>
      <xdr:colOff>495300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0" y="7324725"/>
        <a:ext cx="40481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0.9315</cdr:y>
    </cdr:from>
    <cdr:to>
      <cdr:x>0.9015</cdr:x>
      <cdr:y>0.969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5524500"/>
          <a:ext cx="2381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hogging, sagging and stillwater on bonjeans curves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152400</xdr:rowOff>
    </xdr:from>
    <xdr:to>
      <xdr:col>12</xdr:col>
      <xdr:colOff>533400</xdr:colOff>
      <xdr:row>15</xdr:row>
      <xdr:rowOff>28575</xdr:rowOff>
    </xdr:to>
    <xdr:graphicFrame>
      <xdr:nvGraphicFramePr>
        <xdr:cNvPr id="1" name="Chart 3"/>
        <xdr:cNvGraphicFramePr/>
      </xdr:nvGraphicFramePr>
      <xdr:xfrm>
        <a:off x="4648200" y="152400"/>
        <a:ext cx="34099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15</xdr:row>
      <xdr:rowOff>114300</xdr:rowOff>
    </xdr:from>
    <xdr:to>
      <xdr:col>13</xdr:col>
      <xdr:colOff>123825</xdr:colOff>
      <xdr:row>29</xdr:row>
      <xdr:rowOff>142875</xdr:rowOff>
    </xdr:to>
    <xdr:graphicFrame>
      <xdr:nvGraphicFramePr>
        <xdr:cNvPr id="2" name="Chart 4"/>
        <xdr:cNvGraphicFramePr/>
      </xdr:nvGraphicFramePr>
      <xdr:xfrm>
        <a:off x="4600575" y="2543175"/>
        <a:ext cx="36576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F21"/>
  <sheetViews>
    <sheetView workbookViewId="0" topLeftCell="B1">
      <selection activeCell="E20" sqref="E20"/>
    </sheetView>
  </sheetViews>
  <sheetFormatPr defaultColWidth="9.140625" defaultRowHeight="12.75"/>
  <cols>
    <col min="3" max="3" width="20.00390625" style="0" customWidth="1"/>
  </cols>
  <sheetData>
    <row r="2" spans="3:5" ht="12.75">
      <c r="C2" s="1" t="s">
        <v>61</v>
      </c>
      <c r="D2" s="1">
        <v>440</v>
      </c>
      <c r="E2" t="s">
        <v>163</v>
      </c>
    </row>
    <row r="3" spans="3:4" ht="12.75">
      <c r="C3" s="1" t="s">
        <v>51</v>
      </c>
      <c r="D3" s="1">
        <v>21</v>
      </c>
    </row>
    <row r="4" spans="3:5" ht="12.75">
      <c r="C4" t="s">
        <v>43</v>
      </c>
      <c r="D4">
        <f>LBP/(number_of_stations-1)</f>
        <v>22</v>
      </c>
      <c r="E4" t="s">
        <v>163</v>
      </c>
    </row>
    <row r="6" spans="3:5" ht="12.75">
      <c r="C6" t="s">
        <v>69</v>
      </c>
      <c r="D6" s="1">
        <f>displacement</f>
        <v>9330.041071428572</v>
      </c>
      <c r="E6" t="s">
        <v>81</v>
      </c>
    </row>
    <row r="7" spans="3:5" ht="12.75">
      <c r="C7" t="s">
        <v>71</v>
      </c>
      <c r="D7">
        <f>lcg</f>
        <v>-17.792849585526625</v>
      </c>
      <c r="E7" t="s">
        <v>164</v>
      </c>
    </row>
    <row r="8" spans="3:5" ht="12.75">
      <c r="C8" t="s">
        <v>105</v>
      </c>
      <c r="D8">
        <f>LBP/2-lcg</f>
        <v>237.79284958552662</v>
      </c>
      <c r="E8" t="s">
        <v>165</v>
      </c>
    </row>
    <row r="14" ht="12.75">
      <c r="C14" t="s">
        <v>101</v>
      </c>
    </row>
    <row r="15" ht="12.75">
      <c r="D15" t="s">
        <v>104</v>
      </c>
    </row>
    <row r="16" spans="4:5" ht="12.75">
      <c r="D16" t="s">
        <v>227</v>
      </c>
      <c r="E16" t="s">
        <v>228</v>
      </c>
    </row>
    <row r="17" spans="3:6" ht="12.75">
      <c r="C17" t="s">
        <v>102</v>
      </c>
      <c r="D17" s="19">
        <f>MAX('sagging long str'!G6:G28)</f>
        <v>185804.5501925327</v>
      </c>
      <c r="E17" s="19">
        <f>MIN('sagging long str'!G6:G28)</f>
        <v>-896.8946231572882</v>
      </c>
      <c r="F17" t="s">
        <v>134</v>
      </c>
    </row>
    <row r="18" spans="3:6" ht="12.75">
      <c r="C18" t="s">
        <v>32</v>
      </c>
      <c r="D18" s="19">
        <f>MAX('hogging long str'!G6:G28)</f>
        <v>0</v>
      </c>
      <c r="E18" s="19">
        <f>MIN('hogging long str'!G6:G28)</f>
        <v>-64916.55739353962</v>
      </c>
      <c r="F18" t="s">
        <v>134</v>
      </c>
    </row>
    <row r="19" spans="3:6" ht="12.75">
      <c r="C19" t="s">
        <v>103</v>
      </c>
      <c r="D19" s="19">
        <f>MAX('still water long str'!G6:G28)</f>
        <v>47786.31624619895</v>
      </c>
      <c r="E19" s="19">
        <f>MIN('still water long str'!G6:G28)</f>
        <v>-4690.3358123516355</v>
      </c>
      <c r="F19" t="s">
        <v>134</v>
      </c>
    </row>
    <row r="21" spans="3:5" ht="12.75">
      <c r="C21" t="s">
        <v>187</v>
      </c>
      <c r="D21" s="24">
        <f>htwave</f>
        <v>23.073794659743335</v>
      </c>
      <c r="E21" t="s">
        <v>188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&amp;C&amp;F, 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Y45"/>
  <sheetViews>
    <sheetView workbookViewId="0" topLeftCell="A1">
      <selection activeCell="G7" sqref="G7:G26"/>
    </sheetView>
  </sheetViews>
  <sheetFormatPr defaultColWidth="9.140625" defaultRowHeight="12.75"/>
  <cols>
    <col min="6" max="6" width="9.28125" style="0" bestFit="1" customWidth="1"/>
    <col min="7" max="7" width="10.7109375" style="0" customWidth="1"/>
    <col min="8" max="8" width="9.28125" style="0" bestFit="1" customWidth="1"/>
    <col min="9" max="25" width="9.57421875" style="0" bestFit="1" customWidth="1"/>
  </cols>
  <sheetData>
    <row r="1" spans="1:2" ht="12.75">
      <c r="A1" s="14" t="s">
        <v>96</v>
      </c>
      <c r="B1" s="14"/>
    </row>
    <row r="4" spans="1:7" ht="12.75">
      <c r="A4" t="s">
        <v>79</v>
      </c>
      <c r="B4" s="23" t="s">
        <v>126</v>
      </c>
      <c r="D4" t="s">
        <v>85</v>
      </c>
      <c r="E4" t="s">
        <v>82</v>
      </c>
      <c r="F4" t="s">
        <v>98</v>
      </c>
      <c r="G4" t="s">
        <v>99</v>
      </c>
    </row>
    <row r="5" spans="1:6" ht="12.75">
      <c r="A5" t="s">
        <v>80</v>
      </c>
      <c r="B5" s="21" t="s">
        <v>127</v>
      </c>
      <c r="C5" t="s">
        <v>81</v>
      </c>
      <c r="E5" t="s">
        <v>81</v>
      </c>
      <c r="F5" t="s">
        <v>81</v>
      </c>
    </row>
    <row r="6" spans="1:7" ht="12.75">
      <c r="A6">
        <f>weight!B6</f>
        <v>0</v>
      </c>
      <c r="F6" s="1">
        <v>0</v>
      </c>
      <c r="G6" s="1">
        <v>0</v>
      </c>
    </row>
    <row r="7" spans="1:7" ht="12.75">
      <c r="A7">
        <f>weight!B7</f>
        <v>1</v>
      </c>
      <c r="B7" s="22" t="s">
        <v>106</v>
      </c>
      <c r="C7" s="15">
        <f>weight!D7</f>
        <v>77.91964285714286</v>
      </c>
      <c r="D7" s="24">
        <f>weight!G7</f>
        <v>11</v>
      </c>
      <c r="E7" s="15">
        <f aca="true" t="shared" si="0" ref="E7:E26"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cu_ft_per_ton</f>
        <v>0</v>
      </c>
      <c r="F7" s="15">
        <f>E7-C7+F6</f>
        <v>-77.91964285714286</v>
      </c>
      <c r="G7" s="15">
        <v>0</v>
      </c>
    </row>
    <row r="8" spans="1:7" ht="12.75">
      <c r="A8">
        <f>weight!B8</f>
        <v>2</v>
      </c>
      <c r="B8" s="22" t="s">
        <v>107</v>
      </c>
      <c r="C8" s="15">
        <f>weight!D8</f>
        <v>85.18883928571428</v>
      </c>
      <c r="D8" s="24">
        <f>weight!G8</f>
        <v>33</v>
      </c>
      <c r="E8" s="15">
        <f t="shared" si="0"/>
        <v>28.821626330982554</v>
      </c>
      <c r="F8" s="15">
        <f aca="true" t="shared" si="1" ref="F8:F26">E8-C8+F7</f>
        <v>-134.2868558118746</v>
      </c>
      <c r="G8" s="15">
        <f>(F7+F8)/2*section_spacing+G7</f>
        <v>-2334.271485359192</v>
      </c>
    </row>
    <row r="9" spans="1:7" ht="12.75">
      <c r="A9">
        <f>weight!B9</f>
        <v>3</v>
      </c>
      <c r="B9" s="22" t="s">
        <v>108</v>
      </c>
      <c r="C9" s="15">
        <f>weight!D9</f>
        <v>120.93883928571428</v>
      </c>
      <c r="D9" s="24">
        <f>weight!G9</f>
        <v>55</v>
      </c>
      <c r="E9" s="15">
        <f t="shared" si="0"/>
        <v>175.32488481924128</v>
      </c>
      <c r="F9" s="15">
        <f t="shared" si="1"/>
        <v>-79.9008102783476</v>
      </c>
      <c r="G9" s="15">
        <f aca="true" t="shared" si="2" ref="G9:G26">(F8+F9)/2*section_spacing+G8</f>
        <v>-4690.3358123516355</v>
      </c>
    </row>
    <row r="10" spans="1:7" ht="12.75">
      <c r="A10">
        <f>weight!B10</f>
        <v>4</v>
      </c>
      <c r="B10" s="22" t="s">
        <v>109</v>
      </c>
      <c r="C10" s="15">
        <f>weight!D10</f>
        <v>192.2799107142857</v>
      </c>
      <c r="D10" s="24">
        <f>weight!G10</f>
        <v>77</v>
      </c>
      <c r="E10" s="15">
        <f t="shared" si="0"/>
        <v>392.60640803161846</v>
      </c>
      <c r="F10" s="15">
        <f t="shared" si="1"/>
        <v>120.42568703898515</v>
      </c>
      <c r="G10" s="15">
        <f t="shared" si="2"/>
        <v>-4244.562167984623</v>
      </c>
    </row>
    <row r="11" spans="1:7" ht="12.75">
      <c r="A11">
        <f>weight!B11</f>
        <v>5</v>
      </c>
      <c r="B11" s="22" t="s">
        <v>110</v>
      </c>
      <c r="C11" s="15">
        <f>weight!D11</f>
        <v>301.6299107142857</v>
      </c>
      <c r="D11" s="24">
        <f>weight!G11</f>
        <v>99</v>
      </c>
      <c r="E11" s="15">
        <f t="shared" si="0"/>
        <v>513.2261780998095</v>
      </c>
      <c r="F11" s="15">
        <f t="shared" si="1"/>
        <v>332.021954424509</v>
      </c>
      <c r="G11" s="15">
        <f t="shared" si="2"/>
        <v>732.3618881138127</v>
      </c>
    </row>
    <row r="12" spans="1:7" ht="12.75">
      <c r="A12">
        <f>weight!B12</f>
        <v>6</v>
      </c>
      <c r="B12" s="22" t="s">
        <v>111</v>
      </c>
      <c r="C12" s="15">
        <f>weight!D12</f>
        <v>421.2919642857143</v>
      </c>
      <c r="D12" s="24">
        <f>weight!G12</f>
        <v>121</v>
      </c>
      <c r="E12" s="15">
        <f t="shared" si="0"/>
        <v>555.5766908494562</v>
      </c>
      <c r="F12" s="15">
        <f t="shared" si="1"/>
        <v>466.3066809882509</v>
      </c>
      <c r="G12" s="15">
        <f t="shared" si="2"/>
        <v>9513.976877654171</v>
      </c>
    </row>
    <row r="13" spans="1:7" ht="12.75">
      <c r="A13">
        <f>weight!B13</f>
        <v>7</v>
      </c>
      <c r="B13" s="22" t="s">
        <v>112</v>
      </c>
      <c r="C13" s="15">
        <f>weight!D13</f>
        <v>530.2924107142857</v>
      </c>
      <c r="D13" s="24">
        <f>weight!G13</f>
        <v>143</v>
      </c>
      <c r="E13" s="15">
        <f t="shared" si="0"/>
        <v>598.7759725868156</v>
      </c>
      <c r="F13" s="15">
        <f t="shared" si="1"/>
        <v>534.7902428607808</v>
      </c>
      <c r="G13" s="15">
        <f t="shared" si="2"/>
        <v>20526.04303999352</v>
      </c>
    </row>
    <row r="14" spans="1:7" ht="12.75">
      <c r="A14">
        <f>weight!B14</f>
        <v>8</v>
      </c>
      <c r="B14" s="22" t="s">
        <v>113</v>
      </c>
      <c r="C14" s="15">
        <f>weight!D14</f>
        <v>665.0658482142857</v>
      </c>
      <c r="D14" s="24">
        <f>weight!G14</f>
        <v>165</v>
      </c>
      <c r="E14" s="15">
        <f t="shared" si="0"/>
        <v>630.1751940002661</v>
      </c>
      <c r="F14" s="15">
        <f t="shared" si="1"/>
        <v>499.89958864676123</v>
      </c>
      <c r="G14" s="15">
        <f t="shared" si="2"/>
        <v>31907.631186576484</v>
      </c>
    </row>
    <row r="15" spans="1:7" ht="12.75">
      <c r="A15">
        <f>weight!B15</f>
        <v>9</v>
      </c>
      <c r="B15" s="22" t="s">
        <v>114</v>
      </c>
      <c r="C15" s="15">
        <f>weight!D15</f>
        <v>798.1238839285714</v>
      </c>
      <c r="D15" s="24">
        <f>weight!G15</f>
        <v>187</v>
      </c>
      <c r="E15" s="15">
        <f t="shared" si="0"/>
        <v>644.1826222628142</v>
      </c>
      <c r="F15" s="15">
        <f t="shared" si="1"/>
        <v>345.958326981004</v>
      </c>
      <c r="G15" s="15">
        <f t="shared" si="2"/>
        <v>41212.0682584819</v>
      </c>
    </row>
    <row r="16" spans="1:7" ht="12.75">
      <c r="A16">
        <f>weight!B16</f>
        <v>10</v>
      </c>
      <c r="B16" s="22" t="s">
        <v>115</v>
      </c>
      <c r="C16" s="15">
        <f>weight!D16</f>
        <v>852.6875</v>
      </c>
      <c r="D16" s="24">
        <f>weight!G16</f>
        <v>209</v>
      </c>
      <c r="E16" s="15">
        <f t="shared" si="0"/>
        <v>653.1363319626151</v>
      </c>
      <c r="F16" s="15">
        <f t="shared" si="1"/>
        <v>146.40715894361915</v>
      </c>
      <c r="G16" s="15">
        <f t="shared" si="2"/>
        <v>46628.08860365275</v>
      </c>
    </row>
    <row r="17" spans="1:7" ht="12.75">
      <c r="A17">
        <f>weight!B17</f>
        <v>11</v>
      </c>
      <c r="B17" s="22" t="s">
        <v>116</v>
      </c>
      <c r="C17" s="15">
        <f>weight!D17</f>
        <v>849.6109375</v>
      </c>
      <c r="D17" s="24">
        <f>weight!G17</f>
        <v>231</v>
      </c>
      <c r="E17" s="15">
        <f t="shared" si="0"/>
        <v>662.090041662416</v>
      </c>
      <c r="F17" s="15">
        <f t="shared" si="1"/>
        <v>-41.11373689396487</v>
      </c>
      <c r="G17" s="15">
        <f t="shared" si="2"/>
        <v>47786.31624619895</v>
      </c>
    </row>
    <row r="18" spans="1:7" ht="12.75">
      <c r="A18">
        <f>weight!B18</f>
        <v>12</v>
      </c>
      <c r="B18" s="22" t="s">
        <v>117</v>
      </c>
      <c r="C18" s="15">
        <f>weight!D18</f>
        <v>813.4279017857143</v>
      </c>
      <c r="D18" s="24">
        <f>weight!G18</f>
        <v>253</v>
      </c>
      <c r="E18" s="15">
        <f t="shared" si="0"/>
        <v>657.5431113368037</v>
      </c>
      <c r="F18" s="15">
        <f t="shared" si="1"/>
        <v>-196.9985273428755</v>
      </c>
      <c r="G18" s="15">
        <f t="shared" si="2"/>
        <v>45167.08133959371</v>
      </c>
    </row>
    <row r="19" spans="1:7" ht="12.75">
      <c r="A19">
        <f>weight!B19</f>
        <v>13</v>
      </c>
      <c r="B19" s="22" t="s">
        <v>118</v>
      </c>
      <c r="C19" s="15">
        <f>weight!D19</f>
        <v>736.9241071428571</v>
      </c>
      <c r="D19" s="24">
        <f>weight!G19</f>
        <v>275</v>
      </c>
      <c r="E19" s="15">
        <f t="shared" si="0"/>
        <v>631.0120676019017</v>
      </c>
      <c r="F19" s="15">
        <f t="shared" si="1"/>
        <v>-302.91056688383094</v>
      </c>
      <c r="G19" s="15">
        <f t="shared" si="2"/>
        <v>39668.081303099934</v>
      </c>
    </row>
    <row r="20" spans="1:7" ht="12.75">
      <c r="A20">
        <f>weight!B20</f>
        <v>14</v>
      </c>
      <c r="B20" s="22" t="s">
        <v>119</v>
      </c>
      <c r="C20" s="15">
        <f>weight!D20</f>
        <v>646.3303571428571</v>
      </c>
      <c r="D20" s="24">
        <f>weight!G20</f>
        <v>297</v>
      </c>
      <c r="E20" s="15">
        <f t="shared" si="0"/>
        <v>597.4721578259441</v>
      </c>
      <c r="F20" s="15">
        <f t="shared" si="1"/>
        <v>-351.7687662007439</v>
      </c>
      <c r="G20" s="15">
        <f t="shared" si="2"/>
        <v>32466.60863916961</v>
      </c>
    </row>
    <row r="21" spans="1:7" ht="12.75">
      <c r="A21">
        <f>weight!B21</f>
        <v>15</v>
      </c>
      <c r="B21" s="22" t="s">
        <v>120</v>
      </c>
      <c r="C21" s="15">
        <f>weight!D21</f>
        <v>577.0223214285714</v>
      </c>
      <c r="D21" s="24">
        <f>weight!G21</f>
        <v>319</v>
      </c>
      <c r="E21" s="15">
        <f t="shared" si="0"/>
        <v>566.0434275417851</v>
      </c>
      <c r="F21" s="15">
        <f t="shared" si="1"/>
        <v>-362.7476600875302</v>
      </c>
      <c r="G21" s="15">
        <f t="shared" si="2"/>
        <v>24606.927949998597</v>
      </c>
    </row>
    <row r="22" spans="1:7" ht="12.75">
      <c r="A22">
        <f>weight!B22</f>
        <v>16</v>
      </c>
      <c r="B22" s="22" t="s">
        <v>121</v>
      </c>
      <c r="C22" s="15">
        <f>weight!D22</f>
        <v>511.81473214285717</v>
      </c>
      <c r="D22" s="24">
        <f>weight!G22</f>
        <v>341</v>
      </c>
      <c r="E22" s="15">
        <f t="shared" si="0"/>
        <v>535.5638050752785</v>
      </c>
      <c r="F22" s="15">
        <f t="shared" si="1"/>
        <v>-338.99858715510885</v>
      </c>
      <c r="G22" s="15">
        <f t="shared" si="2"/>
        <v>16887.719230329567</v>
      </c>
    </row>
    <row r="23" spans="1:7" ht="12.75">
      <c r="A23">
        <f>weight!B23</f>
        <v>17</v>
      </c>
      <c r="B23" s="22" t="s">
        <v>122</v>
      </c>
      <c r="C23" s="15">
        <f>weight!D23</f>
        <v>432.959375</v>
      </c>
      <c r="D23" s="24">
        <f>weight!G23</f>
        <v>363</v>
      </c>
      <c r="E23" s="15">
        <f t="shared" si="0"/>
        <v>490.2788426150872</v>
      </c>
      <c r="F23" s="15">
        <f t="shared" si="1"/>
        <v>-281.67911954002165</v>
      </c>
      <c r="G23" s="15">
        <f t="shared" si="2"/>
        <v>10060.264456683131</v>
      </c>
    </row>
    <row r="24" spans="1:7" ht="12.75">
      <c r="A24">
        <f>weight!B24</f>
        <v>18</v>
      </c>
      <c r="B24" s="22" t="s">
        <v>123</v>
      </c>
      <c r="C24" s="15">
        <f>weight!D24</f>
        <v>340.5205357142857</v>
      </c>
      <c r="D24" s="24">
        <f>weight!G24</f>
        <v>385</v>
      </c>
      <c r="E24" s="15">
        <f t="shared" si="0"/>
        <v>421.2849853061262</v>
      </c>
      <c r="F24" s="15">
        <f t="shared" si="1"/>
        <v>-200.91466994818114</v>
      </c>
      <c r="G24" s="15">
        <f t="shared" si="2"/>
        <v>4751.732772312901</v>
      </c>
    </row>
    <row r="25" spans="1:7" ht="12.75">
      <c r="A25">
        <f>weight!B25</f>
        <v>19</v>
      </c>
      <c r="B25" s="22" t="s">
        <v>124</v>
      </c>
      <c r="C25" s="15">
        <f>weight!D25</f>
        <v>237.23236607142857</v>
      </c>
      <c r="D25" s="24">
        <f>weight!G25</f>
        <v>407</v>
      </c>
      <c r="E25" s="15">
        <f t="shared" si="0"/>
        <v>349.23255071833654</v>
      </c>
      <c r="F25" s="15">
        <f t="shared" si="1"/>
        <v>-88.91448530127317</v>
      </c>
      <c r="G25" s="15">
        <f t="shared" si="2"/>
        <v>1563.6120645689039</v>
      </c>
    </row>
    <row r="26" spans="1:7" ht="12.75">
      <c r="A26">
        <f>weight!B26</f>
        <v>20</v>
      </c>
      <c r="B26" s="22" t="s">
        <v>125</v>
      </c>
      <c r="C26" s="15">
        <f>weight!D26</f>
        <v>138.7796875</v>
      </c>
      <c r="D26" s="24">
        <f>weight!G26</f>
        <v>429</v>
      </c>
      <c r="E26" s="15">
        <f t="shared" si="0"/>
        <v>226.27392640062658</v>
      </c>
      <c r="F26" s="15">
        <f t="shared" si="1"/>
        <v>-1.4202464006465902</v>
      </c>
      <c r="G26" s="15">
        <f t="shared" si="2"/>
        <v>569.9300158477864</v>
      </c>
    </row>
    <row r="27" spans="6:7" ht="12.75">
      <c r="F27" s="1"/>
      <c r="G27" s="1"/>
    </row>
    <row r="28" spans="6:7" ht="12.75">
      <c r="F28" s="1"/>
      <c r="G28" s="1"/>
    </row>
    <row r="30" spans="3:5" ht="12.75">
      <c r="C30" s="15">
        <f>SUM(C7:C29)</f>
        <v>9330.041071428572</v>
      </c>
      <c r="E30">
        <f>SUM(E7:E29)</f>
        <v>9328.620825027925</v>
      </c>
    </row>
    <row r="32" spans="6:25" ht="12.75"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14" ht="50.25" customHeight="1">
      <c r="A33" s="41" t="s">
        <v>173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5" spans="1:4" ht="12.75">
      <c r="A35" t="s">
        <v>174</v>
      </c>
      <c r="D35">
        <f>MATCH(D7,x_sta_still)</f>
        <v>1</v>
      </c>
    </row>
    <row r="36" spans="1:4" ht="12.75">
      <c r="A36" t="s">
        <v>175</v>
      </c>
      <c r="D36">
        <f>INDEX(x_sta_still,MATCH(D7,x_sta_still))</f>
        <v>0</v>
      </c>
    </row>
    <row r="37" spans="1:6" ht="12.75">
      <c r="A37" t="s">
        <v>176</v>
      </c>
      <c r="F37">
        <f>INDEX(x_sta_still,MATCH(D7,x_sta_still)+1)</f>
        <v>22</v>
      </c>
    </row>
    <row r="38" spans="1:11" ht="12.75">
      <c r="A38" t="s">
        <v>177</v>
      </c>
      <c r="F38">
        <f>INDEX(interpolated_area_still,MATCH(D7,x_sta_still)+1)</f>
        <v>0</v>
      </c>
      <c r="G38" s="32">
        <v>0.03161636714126765</v>
      </c>
      <c r="H38">
        <f>G38*sa_scale_factor</f>
        <v>18.96982028476059</v>
      </c>
      <c r="J38">
        <v>0.19432129042635551</v>
      </c>
      <c r="K38">
        <v>18.96982028476059</v>
      </c>
    </row>
    <row r="39" spans="1:8" ht="12.75">
      <c r="A39" t="s">
        <v>178</v>
      </c>
      <c r="F39">
        <f>INDEX(interpolated_area_still,MATCH(D7,x_sta_still))</f>
        <v>0</v>
      </c>
      <c r="G39" s="32">
        <v>0.0003238688173772592</v>
      </c>
      <c r="H39">
        <f>G39*sa_scale_factor</f>
        <v>0.19432129042635551</v>
      </c>
    </row>
    <row r="40" spans="1:6" ht="12.75">
      <c r="A40" t="s">
        <v>179</v>
      </c>
      <c r="F40">
        <f>INDEX(interpolated_area_still,MATCH(D7,x_sta_still))</f>
        <v>0</v>
      </c>
    </row>
    <row r="42" spans="1:8" ht="12.75">
      <c r="A42" t="s">
        <v>180</v>
      </c>
      <c r="F42">
        <f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f>
        <v>0</v>
      </c>
      <c r="G42">
        <f>(G38+G39)/2</f>
        <v>0.015970117979322455</v>
      </c>
      <c r="H42">
        <f>(H38+H39)/2</f>
        <v>9.582070787593473</v>
      </c>
    </row>
    <row r="43" spans="1:8" ht="12.75">
      <c r="A43" t="s">
        <v>140</v>
      </c>
      <c r="F43">
        <f>sa_scale_factor*section_spacing/35</f>
        <v>377.14285714285717</v>
      </c>
      <c r="H43" s="1">
        <f>H42*section_spacing/cu_ft_per_ton</f>
        <v>6.027232021742542</v>
      </c>
    </row>
    <row r="45" spans="1:6" ht="12.75">
      <c r="A45" t="s">
        <v>181</v>
      </c>
      <c r="F45">
        <f>F42*F43</f>
        <v>0</v>
      </c>
    </row>
  </sheetData>
  <mergeCells count="1">
    <mergeCell ref="A33:N33"/>
  </mergeCells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U40"/>
  <sheetViews>
    <sheetView workbookViewId="0" topLeftCell="F1">
      <selection activeCell="F11" sqref="F11"/>
    </sheetView>
  </sheetViews>
  <sheetFormatPr defaultColWidth="9.140625" defaultRowHeight="12.75"/>
  <cols>
    <col min="5" max="5" width="13.140625" style="0" customWidth="1"/>
    <col min="6" max="6" width="24.28125" style="0" customWidth="1"/>
    <col min="7" max="7" width="13.8515625" style="0" customWidth="1"/>
    <col min="8" max="8" width="2.57421875" style="0" customWidth="1"/>
    <col min="14" max="14" width="11.57421875" style="0" bestFit="1" customWidth="1"/>
  </cols>
  <sheetData>
    <row r="2" spans="3:4" ht="12.75">
      <c r="C2" s="14"/>
      <c r="D2" s="14" t="s">
        <v>68</v>
      </c>
    </row>
    <row r="3" spans="2:7" ht="12.75">
      <c r="B3" t="s">
        <v>82</v>
      </c>
      <c r="C3" t="s">
        <v>126</v>
      </c>
      <c r="E3" t="s">
        <v>64</v>
      </c>
      <c r="F3" t="s">
        <v>72</v>
      </c>
      <c r="G3" t="s">
        <v>64</v>
      </c>
    </row>
    <row r="4" spans="3:7" ht="12.75">
      <c r="C4" t="s">
        <v>127</v>
      </c>
      <c r="D4" t="s">
        <v>63</v>
      </c>
      <c r="E4" t="s">
        <v>65</v>
      </c>
      <c r="F4" t="s">
        <v>78</v>
      </c>
      <c r="G4" t="s">
        <v>83</v>
      </c>
    </row>
    <row r="5" spans="2:7" ht="12.75">
      <c r="B5" t="s">
        <v>127</v>
      </c>
      <c r="D5" t="s">
        <v>67</v>
      </c>
      <c r="E5" t="s">
        <v>66</v>
      </c>
      <c r="G5" t="s">
        <v>84</v>
      </c>
    </row>
    <row r="6" spans="2:20" ht="12.75">
      <c r="B6">
        <v>0</v>
      </c>
      <c r="D6" s="9">
        <v>0</v>
      </c>
      <c r="E6" s="9"/>
      <c r="I6" s="21" t="s">
        <v>217</v>
      </c>
      <c r="J6" s="21" t="s">
        <v>193</v>
      </c>
      <c r="L6" t="s">
        <v>195</v>
      </c>
      <c r="T6" t="s">
        <v>192</v>
      </c>
    </row>
    <row r="7" spans="2:21" ht="12.75">
      <c r="B7">
        <v>1</v>
      </c>
      <c r="C7" s="22" t="s">
        <v>106</v>
      </c>
      <c r="D7" s="5">
        <f>O7</f>
        <v>77.91964285714286</v>
      </c>
      <c r="E7" s="7">
        <v>209</v>
      </c>
      <c r="F7" s="15">
        <f aca="true" t="shared" si="0" ref="F7:F26">D7*E7</f>
        <v>16285.205357142859</v>
      </c>
      <c r="G7">
        <f>LBP/2-E7</f>
        <v>11</v>
      </c>
      <c r="I7" s="22">
        <v>0</v>
      </c>
      <c r="J7" s="22">
        <v>0</v>
      </c>
      <c r="K7" s="9"/>
      <c r="L7" s="9"/>
      <c r="N7" s="33">
        <v>95340</v>
      </c>
      <c r="O7">
        <f>(N7+N8/2)/2240</f>
        <v>77.91964285714286</v>
      </c>
      <c r="P7" s="21" t="str">
        <f>C7</f>
        <v>0 - 1</v>
      </c>
      <c r="Q7" s="5"/>
      <c r="S7" s="33">
        <v>0</v>
      </c>
      <c r="T7" s="36"/>
      <c r="U7" s="36">
        <v>95340</v>
      </c>
    </row>
    <row r="8" spans="2:21" ht="12.75">
      <c r="B8">
        <v>2</v>
      </c>
      <c r="C8" s="22" t="s">
        <v>107</v>
      </c>
      <c r="D8" s="5">
        <f aca="true" t="shared" si="1" ref="D8:D26">O8</f>
        <v>85.18883928571428</v>
      </c>
      <c r="E8" s="10">
        <v>187</v>
      </c>
      <c r="F8" s="15">
        <f t="shared" si="0"/>
        <v>15930.31294642857</v>
      </c>
      <c r="G8">
        <f aca="true" t="shared" si="2" ref="G8:G26">LBP/2-E8</f>
        <v>33</v>
      </c>
      <c r="I8" s="22">
        <v>1</v>
      </c>
      <c r="J8" s="22">
        <v>22</v>
      </c>
      <c r="K8" s="9"/>
      <c r="L8" s="9"/>
      <c r="N8" s="34">
        <v>158400</v>
      </c>
      <c r="O8">
        <f aca="true" t="shared" si="3" ref="O8:O25">(N8+N9)/2240/2</f>
        <v>85.18883928571428</v>
      </c>
      <c r="P8" s="21" t="str">
        <f aca="true" t="shared" si="4" ref="P8:P26">C8</f>
        <v>1 - 2</v>
      </c>
      <c r="Q8" s="8"/>
      <c r="S8" s="34">
        <v>1</v>
      </c>
      <c r="T8" s="37"/>
      <c r="U8" s="37">
        <v>158400</v>
      </c>
    </row>
    <row r="9" spans="2:21" ht="12.75">
      <c r="B9">
        <v>3</v>
      </c>
      <c r="C9" s="22" t="s">
        <v>108</v>
      </c>
      <c r="D9" s="5">
        <f t="shared" si="1"/>
        <v>120.93883928571428</v>
      </c>
      <c r="E9" s="10">
        <v>165</v>
      </c>
      <c r="F9" s="15">
        <f t="shared" si="0"/>
        <v>19954.908482142855</v>
      </c>
      <c r="G9">
        <f t="shared" si="2"/>
        <v>55</v>
      </c>
      <c r="I9" s="22">
        <v>2</v>
      </c>
      <c r="J9" s="22">
        <v>44</v>
      </c>
      <c r="K9" s="9"/>
      <c r="L9" s="9"/>
      <c r="N9" s="34">
        <v>223246</v>
      </c>
      <c r="O9">
        <f t="shared" si="3"/>
        <v>120.93883928571428</v>
      </c>
      <c r="P9" s="21" t="str">
        <f t="shared" si="4"/>
        <v>2 - 3</v>
      </c>
      <c r="Q9" s="8"/>
      <c r="S9" s="34">
        <v>2</v>
      </c>
      <c r="T9" s="37"/>
      <c r="U9" s="37">
        <v>223246</v>
      </c>
    </row>
    <row r="10" spans="2:21" ht="12.75">
      <c r="B10">
        <v>4</v>
      </c>
      <c r="C10" s="22" t="s">
        <v>109</v>
      </c>
      <c r="D10" s="5">
        <f t="shared" si="1"/>
        <v>192.2799107142857</v>
      </c>
      <c r="E10" s="10">
        <v>143</v>
      </c>
      <c r="F10" s="15">
        <f t="shared" si="0"/>
        <v>27496.027232142857</v>
      </c>
      <c r="G10">
        <f t="shared" si="2"/>
        <v>77</v>
      </c>
      <c r="I10" s="22">
        <v>3</v>
      </c>
      <c r="J10" s="22">
        <v>66</v>
      </c>
      <c r="K10" s="9"/>
      <c r="L10" s="9"/>
      <c r="N10" s="34">
        <v>318560</v>
      </c>
      <c r="O10">
        <f t="shared" si="3"/>
        <v>192.2799107142857</v>
      </c>
      <c r="P10" s="21" t="str">
        <f t="shared" si="4"/>
        <v>3 - 4</v>
      </c>
      <c r="Q10" s="8"/>
      <c r="S10" s="34">
        <v>3</v>
      </c>
      <c r="T10" s="37"/>
      <c r="U10" s="37">
        <v>318560</v>
      </c>
    </row>
    <row r="11" spans="2:21" ht="12.75">
      <c r="B11">
        <v>5</v>
      </c>
      <c r="C11" s="22" t="s">
        <v>110</v>
      </c>
      <c r="D11" s="5">
        <f t="shared" si="1"/>
        <v>301.6299107142857</v>
      </c>
      <c r="E11" s="10">
        <v>121</v>
      </c>
      <c r="F11" s="15">
        <f t="shared" si="0"/>
        <v>36497.21919642857</v>
      </c>
      <c r="G11">
        <f t="shared" si="2"/>
        <v>99</v>
      </c>
      <c r="I11" s="22">
        <v>4</v>
      </c>
      <c r="J11" s="22">
        <v>88</v>
      </c>
      <c r="K11" s="9"/>
      <c r="L11" s="9"/>
      <c r="N11" s="34">
        <v>542854</v>
      </c>
      <c r="O11">
        <f t="shared" si="3"/>
        <v>301.6299107142857</v>
      </c>
      <c r="P11" s="21" t="str">
        <f t="shared" si="4"/>
        <v>4 - 5</v>
      </c>
      <c r="Q11" s="8"/>
      <c r="S11" s="34">
        <v>4</v>
      </c>
      <c r="T11" s="37"/>
      <c r="U11" s="37">
        <v>542854</v>
      </c>
    </row>
    <row r="12" spans="2:21" ht="12.75">
      <c r="B12">
        <v>6</v>
      </c>
      <c r="C12" s="22" t="s">
        <v>111</v>
      </c>
      <c r="D12" s="5">
        <f t="shared" si="1"/>
        <v>421.2919642857143</v>
      </c>
      <c r="E12" s="10">
        <v>99</v>
      </c>
      <c r="F12" s="15">
        <f t="shared" si="0"/>
        <v>41707.90446428572</v>
      </c>
      <c r="G12">
        <f t="shared" si="2"/>
        <v>121</v>
      </c>
      <c r="I12" s="22">
        <v>5</v>
      </c>
      <c r="J12" s="22">
        <v>110</v>
      </c>
      <c r="K12" s="9" t="s">
        <v>224</v>
      </c>
      <c r="L12" s="9"/>
      <c r="N12" s="34">
        <v>808448</v>
      </c>
      <c r="O12">
        <f t="shared" si="3"/>
        <v>421.2919642857143</v>
      </c>
      <c r="P12" s="21" t="str">
        <f t="shared" si="4"/>
        <v>5 - 6</v>
      </c>
      <c r="Q12" s="8"/>
      <c r="S12" s="34">
        <v>5</v>
      </c>
      <c r="T12" s="37"/>
      <c r="U12" s="37">
        <v>808448</v>
      </c>
    </row>
    <row r="13" spans="2:21" ht="12.75">
      <c r="B13">
        <v>7</v>
      </c>
      <c r="C13" s="22" t="s">
        <v>112</v>
      </c>
      <c r="D13" s="5">
        <f t="shared" si="1"/>
        <v>530.2924107142857</v>
      </c>
      <c r="E13" s="10">
        <v>77</v>
      </c>
      <c r="F13" s="15">
        <f t="shared" si="0"/>
        <v>40832.51562499999</v>
      </c>
      <c r="G13">
        <f t="shared" si="2"/>
        <v>143</v>
      </c>
      <c r="I13" s="22">
        <v>6</v>
      </c>
      <c r="J13" s="22">
        <v>132</v>
      </c>
      <c r="K13" s="9"/>
      <c r="L13" s="9" t="s">
        <v>225</v>
      </c>
      <c r="N13" s="34">
        <v>1078940</v>
      </c>
      <c r="O13">
        <f t="shared" si="3"/>
        <v>530.2924107142857</v>
      </c>
      <c r="P13" s="21" t="str">
        <f t="shared" si="4"/>
        <v>6 - 7</v>
      </c>
      <c r="Q13" s="8"/>
      <c r="S13" s="34">
        <v>6</v>
      </c>
      <c r="T13" s="37"/>
      <c r="U13" s="37">
        <v>1078940</v>
      </c>
    </row>
    <row r="14" spans="2:21" ht="12.75">
      <c r="B14">
        <v>8</v>
      </c>
      <c r="C14" s="22" t="s">
        <v>113</v>
      </c>
      <c r="D14" s="5">
        <f t="shared" si="1"/>
        <v>665.0658482142857</v>
      </c>
      <c r="E14" s="10">
        <v>55</v>
      </c>
      <c r="F14" s="15">
        <f t="shared" si="0"/>
        <v>36578.62165178571</v>
      </c>
      <c r="G14">
        <f t="shared" si="2"/>
        <v>165</v>
      </c>
      <c r="I14" s="22">
        <v>7</v>
      </c>
      <c r="J14" s="22">
        <v>154</v>
      </c>
      <c r="K14" s="9" t="s">
        <v>218</v>
      </c>
      <c r="L14" s="9">
        <f>5*M33</f>
        <v>43005</v>
      </c>
      <c r="M14" s="34" t="s">
        <v>226</v>
      </c>
      <c r="N14" s="34">
        <v>1296770</v>
      </c>
      <c r="O14">
        <f t="shared" si="3"/>
        <v>665.0658482142857</v>
      </c>
      <c r="P14" s="21" t="str">
        <f t="shared" si="4"/>
        <v>7 - 8</v>
      </c>
      <c r="Q14" s="8"/>
      <c r="S14" s="34">
        <v>7</v>
      </c>
      <c r="T14" s="37"/>
      <c r="U14" s="37">
        <v>1296770</v>
      </c>
    </row>
    <row r="15" spans="2:21" ht="12.75">
      <c r="B15">
        <v>9</v>
      </c>
      <c r="C15" s="22" t="s">
        <v>114</v>
      </c>
      <c r="D15" s="5">
        <f t="shared" si="1"/>
        <v>798.1238839285714</v>
      </c>
      <c r="E15" s="10">
        <v>33</v>
      </c>
      <c r="F15" s="15">
        <f t="shared" si="0"/>
        <v>26338.08816964286</v>
      </c>
      <c r="G15">
        <f t="shared" si="2"/>
        <v>187</v>
      </c>
      <c r="I15" s="22">
        <v>8</v>
      </c>
      <c r="J15" s="22">
        <v>176</v>
      </c>
      <c r="K15" t="s">
        <v>219</v>
      </c>
      <c r="L15" s="9">
        <f>22*M$33</f>
        <v>189222</v>
      </c>
      <c r="M15">
        <v>1450498</v>
      </c>
      <c r="N15" s="34">
        <f>L15+M15+L14</f>
        <v>1682725</v>
      </c>
      <c r="O15">
        <f t="shared" si="3"/>
        <v>798.1238839285714</v>
      </c>
      <c r="P15" s="21" t="str">
        <f t="shared" si="4"/>
        <v>8 - 9</v>
      </c>
      <c r="Q15" s="8"/>
      <c r="S15" s="34">
        <v>8</v>
      </c>
      <c r="T15" s="37">
        <v>1450498</v>
      </c>
      <c r="U15" s="37"/>
    </row>
    <row r="16" spans="2:21" ht="12.75">
      <c r="B16">
        <v>10</v>
      </c>
      <c r="C16" s="22" t="s">
        <v>115</v>
      </c>
      <c r="D16" s="5">
        <f t="shared" si="1"/>
        <v>852.6875</v>
      </c>
      <c r="E16" s="10">
        <v>11</v>
      </c>
      <c r="F16" s="15">
        <f t="shared" si="0"/>
        <v>9379.5625</v>
      </c>
      <c r="G16">
        <f t="shared" si="2"/>
        <v>209</v>
      </c>
      <c r="I16" s="22">
        <v>9</v>
      </c>
      <c r="J16" s="22">
        <v>198</v>
      </c>
      <c r="K16" s="9" t="s">
        <v>220</v>
      </c>
      <c r="L16" s="9">
        <f>22*M$33</f>
        <v>189222</v>
      </c>
      <c r="M16">
        <v>1703648</v>
      </c>
      <c r="N16" s="34">
        <f>L16+M16</f>
        <v>1892870</v>
      </c>
      <c r="O16">
        <f t="shared" si="3"/>
        <v>852.6875</v>
      </c>
      <c r="P16" s="21" t="str">
        <f t="shared" si="4"/>
        <v>9 - 10</v>
      </c>
      <c r="Q16" s="8"/>
      <c r="S16" s="34">
        <v>9</v>
      </c>
      <c r="T16" s="37">
        <v>1703648</v>
      </c>
      <c r="U16" s="37"/>
    </row>
    <row r="17" spans="2:21" ht="12.75">
      <c r="B17">
        <v>11</v>
      </c>
      <c r="C17" s="22" t="s">
        <v>116</v>
      </c>
      <c r="D17" s="5">
        <f t="shared" si="1"/>
        <v>849.6109375</v>
      </c>
      <c r="E17" s="10">
        <v>-11</v>
      </c>
      <c r="F17" s="15">
        <f t="shared" si="0"/>
        <v>-9345.7203125</v>
      </c>
      <c r="G17">
        <f t="shared" si="2"/>
        <v>231</v>
      </c>
      <c r="I17" s="22">
        <v>10</v>
      </c>
      <c r="J17" s="22">
        <v>220</v>
      </c>
      <c r="K17" s="38" t="s">
        <v>221</v>
      </c>
      <c r="L17" s="9">
        <f>22*M$33</f>
        <v>189222</v>
      </c>
      <c r="M17">
        <v>1737948</v>
      </c>
      <c r="N17" s="34">
        <f>L17+M17</f>
        <v>1927170</v>
      </c>
      <c r="O17">
        <f t="shared" si="3"/>
        <v>849.6109375</v>
      </c>
      <c r="P17" s="21" t="str">
        <f t="shared" si="4"/>
        <v>10 - 11</v>
      </c>
      <c r="Q17" s="8"/>
      <c r="S17" s="34">
        <v>10</v>
      </c>
      <c r="T17" s="37">
        <v>1737948</v>
      </c>
      <c r="U17" s="37"/>
    </row>
    <row r="18" spans="2:21" ht="12.75">
      <c r="B18">
        <v>12</v>
      </c>
      <c r="C18" s="22" t="s">
        <v>117</v>
      </c>
      <c r="D18" s="5">
        <f t="shared" si="1"/>
        <v>813.4279017857143</v>
      </c>
      <c r="E18" s="10">
        <v>-33</v>
      </c>
      <c r="F18" s="15">
        <f t="shared" si="0"/>
        <v>-26843.120758928573</v>
      </c>
      <c r="G18">
        <f t="shared" si="2"/>
        <v>253</v>
      </c>
      <c r="I18" s="22">
        <v>11</v>
      </c>
      <c r="J18" s="22">
        <v>242</v>
      </c>
      <c r="K18" s="9" t="s">
        <v>222</v>
      </c>
      <c r="L18" s="9">
        <f>19*M$33</f>
        <v>163419</v>
      </c>
      <c r="M18">
        <v>1715668</v>
      </c>
      <c r="N18" s="34">
        <f>L18+M18</f>
        <v>1879087</v>
      </c>
      <c r="O18">
        <f t="shared" si="3"/>
        <v>813.4279017857143</v>
      </c>
      <c r="P18" s="21" t="str">
        <f t="shared" si="4"/>
        <v>11 - 12</v>
      </c>
      <c r="Q18" s="8"/>
      <c r="S18" s="34">
        <v>11</v>
      </c>
      <c r="T18" s="37">
        <v>1715668</v>
      </c>
      <c r="U18" s="37"/>
    </row>
    <row r="19" spans="2:21" ht="12.75">
      <c r="B19">
        <v>13</v>
      </c>
      <c r="C19" s="22" t="s">
        <v>118</v>
      </c>
      <c r="D19" s="5">
        <f t="shared" si="1"/>
        <v>736.9241071428571</v>
      </c>
      <c r="E19" s="10">
        <v>-55</v>
      </c>
      <c r="F19" s="15">
        <f t="shared" si="0"/>
        <v>-40530.82589285714</v>
      </c>
      <c r="G19">
        <f t="shared" si="2"/>
        <v>275</v>
      </c>
      <c r="I19" s="22">
        <v>12</v>
      </c>
      <c r="J19" s="22">
        <v>264</v>
      </c>
      <c r="K19" s="9"/>
      <c r="L19" s="9"/>
      <c r="N19" s="34">
        <v>1765070</v>
      </c>
      <c r="O19">
        <f t="shared" si="3"/>
        <v>736.9241071428571</v>
      </c>
      <c r="P19" s="21" t="str">
        <f t="shared" si="4"/>
        <v>12 - 13</v>
      </c>
      <c r="Q19" s="8"/>
      <c r="S19" s="34">
        <v>12</v>
      </c>
      <c r="T19" s="37"/>
      <c r="U19" s="37">
        <v>1765070</v>
      </c>
    </row>
    <row r="20" spans="2:21" ht="12.75">
      <c r="B20">
        <v>14</v>
      </c>
      <c r="C20" s="22" t="s">
        <v>119</v>
      </c>
      <c r="D20" s="5">
        <f t="shared" si="1"/>
        <v>646.3303571428571</v>
      </c>
      <c r="E20" s="10">
        <v>-77</v>
      </c>
      <c r="F20" s="15">
        <f t="shared" si="0"/>
        <v>-49767.4375</v>
      </c>
      <c r="G20">
        <f t="shared" si="2"/>
        <v>297</v>
      </c>
      <c r="I20" s="22">
        <v>13</v>
      </c>
      <c r="J20" s="22">
        <v>286</v>
      </c>
      <c r="K20" s="9"/>
      <c r="L20" s="9"/>
      <c r="N20" s="34">
        <v>1536350</v>
      </c>
      <c r="O20">
        <f t="shared" si="3"/>
        <v>646.3303571428571</v>
      </c>
      <c r="P20" s="21" t="str">
        <f t="shared" si="4"/>
        <v>13 - 14</v>
      </c>
      <c r="Q20" s="8"/>
      <c r="S20" s="34">
        <v>13</v>
      </c>
      <c r="T20" s="37"/>
      <c r="U20" s="37">
        <v>1536350</v>
      </c>
    </row>
    <row r="21" spans="2:21" ht="12.75">
      <c r="B21">
        <v>15</v>
      </c>
      <c r="C21" s="22" t="s">
        <v>120</v>
      </c>
      <c r="D21" s="5">
        <f t="shared" si="1"/>
        <v>577.0223214285714</v>
      </c>
      <c r="E21" s="10">
        <v>-99</v>
      </c>
      <c r="F21" s="15">
        <f t="shared" si="0"/>
        <v>-57125.20982142857</v>
      </c>
      <c r="G21">
        <f t="shared" si="2"/>
        <v>319</v>
      </c>
      <c r="I21" s="22">
        <v>14</v>
      </c>
      <c r="J21" s="22">
        <v>308</v>
      </c>
      <c r="K21" s="9"/>
      <c r="L21" s="9"/>
      <c r="N21" s="34">
        <v>1359210</v>
      </c>
      <c r="O21">
        <f t="shared" si="3"/>
        <v>577.0223214285714</v>
      </c>
      <c r="P21" s="21" t="str">
        <f t="shared" si="4"/>
        <v>14 - 15</v>
      </c>
      <c r="Q21" s="8"/>
      <c r="S21" s="34">
        <v>14</v>
      </c>
      <c r="T21" s="37"/>
      <c r="U21" s="37">
        <v>1359210</v>
      </c>
    </row>
    <row r="22" spans="2:21" ht="12.75">
      <c r="B22">
        <v>16</v>
      </c>
      <c r="C22" s="22" t="s">
        <v>121</v>
      </c>
      <c r="D22" s="5">
        <f t="shared" si="1"/>
        <v>511.81473214285717</v>
      </c>
      <c r="E22" s="10">
        <v>-121</v>
      </c>
      <c r="F22" s="15">
        <f t="shared" si="0"/>
        <v>-61929.58258928572</v>
      </c>
      <c r="G22">
        <f t="shared" si="2"/>
        <v>341</v>
      </c>
      <c r="I22" s="22">
        <v>15</v>
      </c>
      <c r="J22" s="22">
        <v>330</v>
      </c>
      <c r="K22" s="9"/>
      <c r="L22" s="9"/>
      <c r="N22" s="34">
        <v>1225850</v>
      </c>
      <c r="O22">
        <f t="shared" si="3"/>
        <v>511.81473214285717</v>
      </c>
      <c r="P22" s="21" t="str">
        <f t="shared" si="4"/>
        <v>15 - 16</v>
      </c>
      <c r="Q22" s="8"/>
      <c r="S22" s="34">
        <v>15</v>
      </c>
      <c r="T22" s="37"/>
      <c r="U22" s="37">
        <v>1225850</v>
      </c>
    </row>
    <row r="23" spans="2:21" ht="12.75">
      <c r="B23">
        <v>17</v>
      </c>
      <c r="C23" s="22" t="s">
        <v>122</v>
      </c>
      <c r="D23" s="5">
        <f t="shared" si="1"/>
        <v>432.959375</v>
      </c>
      <c r="E23" s="10">
        <v>-143</v>
      </c>
      <c r="F23" s="15">
        <f t="shared" si="0"/>
        <v>-61913.190625</v>
      </c>
      <c r="G23">
        <f t="shared" si="2"/>
        <v>363</v>
      </c>
      <c r="I23" s="22">
        <v>16</v>
      </c>
      <c r="J23" s="22">
        <v>352</v>
      </c>
      <c r="K23" s="9"/>
      <c r="L23" s="9"/>
      <c r="N23" s="34">
        <v>1067080</v>
      </c>
      <c r="O23">
        <f t="shared" si="3"/>
        <v>432.959375</v>
      </c>
      <c r="P23" s="21" t="str">
        <f t="shared" si="4"/>
        <v>16 - 17</v>
      </c>
      <c r="Q23" s="8"/>
      <c r="S23" s="34">
        <v>16</v>
      </c>
      <c r="T23" s="37"/>
      <c r="U23" s="37">
        <v>1067080</v>
      </c>
    </row>
    <row r="24" spans="2:21" ht="12.75">
      <c r="B24">
        <v>18</v>
      </c>
      <c r="C24" s="22" t="s">
        <v>123</v>
      </c>
      <c r="D24" s="5">
        <f t="shared" si="1"/>
        <v>340.5205357142857</v>
      </c>
      <c r="E24" s="10">
        <v>-165</v>
      </c>
      <c r="F24" s="15">
        <f t="shared" si="0"/>
        <v>-56185.88839285714</v>
      </c>
      <c r="G24">
        <f t="shared" si="2"/>
        <v>385</v>
      </c>
      <c r="I24" s="22">
        <v>17</v>
      </c>
      <c r="J24" s="22">
        <v>374</v>
      </c>
      <c r="K24" s="9"/>
      <c r="L24" s="9"/>
      <c r="N24" s="34">
        <v>872578</v>
      </c>
      <c r="O24">
        <f t="shared" si="3"/>
        <v>340.5205357142857</v>
      </c>
      <c r="P24" s="21" t="str">
        <f t="shared" si="4"/>
        <v>17 - 18</v>
      </c>
      <c r="Q24" s="8"/>
      <c r="S24" s="34">
        <v>17</v>
      </c>
      <c r="T24" s="37"/>
      <c r="U24" s="37">
        <v>872578</v>
      </c>
    </row>
    <row r="25" spans="2:21" ht="12.75">
      <c r="B25">
        <v>19</v>
      </c>
      <c r="C25" s="22" t="s">
        <v>124</v>
      </c>
      <c r="D25" s="5">
        <f t="shared" si="1"/>
        <v>237.23236607142857</v>
      </c>
      <c r="E25" s="10">
        <v>-187</v>
      </c>
      <c r="F25" s="15">
        <f t="shared" si="0"/>
        <v>-44362.45245535715</v>
      </c>
      <c r="G25">
        <f t="shared" si="2"/>
        <v>407</v>
      </c>
      <c r="I25" s="22">
        <v>18</v>
      </c>
      <c r="J25" s="22">
        <v>396</v>
      </c>
      <c r="K25" s="9"/>
      <c r="L25" s="9"/>
      <c r="N25" s="34">
        <v>652954</v>
      </c>
      <c r="O25">
        <f t="shared" si="3"/>
        <v>237.23236607142857</v>
      </c>
      <c r="P25" s="21" t="str">
        <f t="shared" si="4"/>
        <v>18 - 19</v>
      </c>
      <c r="Q25" s="8"/>
      <c r="S25" s="34">
        <v>18</v>
      </c>
      <c r="T25" s="37"/>
      <c r="U25" s="37">
        <v>652954</v>
      </c>
    </row>
    <row r="26" spans="2:21" ht="12.75">
      <c r="B26" s="9">
        <v>20</v>
      </c>
      <c r="C26" s="22" t="s">
        <v>125</v>
      </c>
      <c r="D26" s="5">
        <f t="shared" si="1"/>
        <v>138.7796875</v>
      </c>
      <c r="E26" s="13">
        <v>-209</v>
      </c>
      <c r="F26" s="15">
        <f t="shared" si="0"/>
        <v>-29004.954687499998</v>
      </c>
      <c r="G26">
        <f t="shared" si="2"/>
        <v>429</v>
      </c>
      <c r="I26" s="22">
        <v>19</v>
      </c>
      <c r="J26" s="22">
        <v>418</v>
      </c>
      <c r="K26" s="9"/>
      <c r="L26" s="9"/>
      <c r="N26" s="34">
        <v>409847</v>
      </c>
      <c r="O26">
        <f>(N26/2+N27)/2240</f>
        <v>138.7796875</v>
      </c>
      <c r="P26" s="21" t="str">
        <f t="shared" si="4"/>
        <v>19 - 20</v>
      </c>
      <c r="Q26" s="11"/>
      <c r="S26" s="34">
        <v>19</v>
      </c>
      <c r="T26" s="37"/>
      <c r="U26" s="37">
        <v>409847</v>
      </c>
    </row>
    <row r="27" spans="3:21" ht="12.75">
      <c r="C27" s="9"/>
      <c r="D27" s="9"/>
      <c r="E27" s="9"/>
      <c r="I27" s="22">
        <v>20</v>
      </c>
      <c r="J27" s="22">
        <v>440</v>
      </c>
      <c r="K27" s="9"/>
      <c r="L27" s="9"/>
      <c r="N27" s="34">
        <v>105943</v>
      </c>
      <c r="S27" s="34">
        <v>20</v>
      </c>
      <c r="T27" s="37"/>
      <c r="U27" s="37">
        <v>105943</v>
      </c>
    </row>
    <row r="28" spans="5:21" ht="12.75">
      <c r="E28" t="s">
        <v>70</v>
      </c>
      <c r="F28" s="15">
        <f>SUM(F7:F27)</f>
        <v>-166008.01741071424</v>
      </c>
      <c r="L28">
        <f>SUM(L14:L27)</f>
        <v>774090</v>
      </c>
      <c r="M28" s="1"/>
      <c r="S28" s="35"/>
      <c r="T28" s="35"/>
      <c r="U28" s="35"/>
    </row>
    <row r="29" spans="1:15" ht="12.75">
      <c r="A29" t="s">
        <v>185</v>
      </c>
      <c r="D29" s="15"/>
      <c r="F29" s="15"/>
      <c r="M29" s="1"/>
      <c r="N29">
        <f>SUM(N7:N28)/2240</f>
        <v>9330.041071428572</v>
      </c>
      <c r="O29">
        <f>SUM(O7:O28)</f>
        <v>9330.041071428572</v>
      </c>
    </row>
    <row r="30" spans="1:21" ht="12.75">
      <c r="A30" t="s">
        <v>186</v>
      </c>
      <c r="E30" t="s">
        <v>69</v>
      </c>
      <c r="F30" s="15">
        <f>SUM(D7:D27)</f>
        <v>9330.041071428572</v>
      </c>
      <c r="G30" t="s">
        <v>81</v>
      </c>
      <c r="M30" s="15" t="s">
        <v>194</v>
      </c>
      <c r="N30">
        <f>(SUM(N7:N14)+SUM(M15:M18)+SUM(N19:N27)+M33*90)/2240</f>
        <v>9330.041071428572</v>
      </c>
      <c r="T30">
        <f>SUM(T7:T27)</f>
        <v>6607762</v>
      </c>
      <c r="U30">
        <f>SUM(U7:U27)</f>
        <v>13517440</v>
      </c>
    </row>
    <row r="31" spans="5:21" ht="12.75">
      <c r="E31" t="s">
        <v>71</v>
      </c>
      <c r="F31">
        <f>F28/displacement</f>
        <v>-17.792849585526625</v>
      </c>
      <c r="G31" t="s">
        <v>73</v>
      </c>
      <c r="T31">
        <f>(T30+U30)/2240</f>
        <v>8984.465178571429</v>
      </c>
      <c r="U31" t="s">
        <v>215</v>
      </c>
    </row>
    <row r="32" spans="5:20" ht="12.75">
      <c r="E32" t="s">
        <v>105</v>
      </c>
      <c r="F32">
        <f>LBP/2-lcg</f>
        <v>237.79284958552662</v>
      </c>
      <c r="G32" t="s">
        <v>74</v>
      </c>
      <c r="T32">
        <f>T31+M37</f>
        <v>9330.041071428572</v>
      </c>
    </row>
    <row r="33" spans="13:14" ht="12.75">
      <c r="M33">
        <v>8601</v>
      </c>
      <c r="N33" t="s">
        <v>189</v>
      </c>
    </row>
    <row r="34" spans="13:14" ht="12.75">
      <c r="M34">
        <v>22</v>
      </c>
      <c r="N34" t="s">
        <v>190</v>
      </c>
    </row>
    <row r="35" spans="13:14" ht="12.75">
      <c r="M35">
        <f>M33*M34</f>
        <v>189222</v>
      </c>
      <c r="N35" t="s">
        <v>191</v>
      </c>
    </row>
    <row r="36" spans="13:16" ht="12.75">
      <c r="M36">
        <f>M33*90</f>
        <v>774090</v>
      </c>
      <c r="N36" t="s">
        <v>196</v>
      </c>
      <c r="P36">
        <f>(Q13-O13)*2240/M33</f>
        <v>-138.10661550982445</v>
      </c>
    </row>
    <row r="37" spans="13:14" ht="12.75">
      <c r="M37">
        <f>M36/2240</f>
        <v>345.57589285714283</v>
      </c>
      <c r="N37" t="s">
        <v>214</v>
      </c>
    </row>
    <row r="39" spans="12:13" ht="12.75">
      <c r="L39">
        <f>Q13*2240</f>
        <v>0</v>
      </c>
      <c r="M39" t="s">
        <v>216</v>
      </c>
    </row>
    <row r="40" ht="12.75">
      <c r="M40" t="s">
        <v>223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56"/>
  <sheetViews>
    <sheetView tabSelected="1" workbookViewId="0" topLeftCell="A1">
      <selection activeCell="D11" sqref="D11"/>
    </sheetView>
  </sheetViews>
  <sheetFormatPr defaultColWidth="9.140625" defaultRowHeight="12.75"/>
  <sheetData>
    <row r="1" spans="3:4" ht="12.75">
      <c r="C1" t="s">
        <v>61</v>
      </c>
      <c r="D1">
        <f>LBP</f>
        <v>440</v>
      </c>
    </row>
    <row r="2" spans="2:4" ht="12.75">
      <c r="B2" t="s">
        <v>75</v>
      </c>
      <c r="C2" s="25">
        <v>600</v>
      </c>
      <c r="D2" t="s">
        <v>77</v>
      </c>
    </row>
    <row r="4" ht="12.75">
      <c r="A4" t="s">
        <v>2</v>
      </c>
    </row>
    <row r="5" ht="12.75">
      <c r="A5" t="s">
        <v>3</v>
      </c>
    </row>
    <row r="6" ht="12.75">
      <c r="A6" t="s">
        <v>76</v>
      </c>
    </row>
    <row r="7" spans="1:22" ht="12.75">
      <c r="A7" s="14"/>
      <c r="B7" s="14" t="s">
        <v>128</v>
      </c>
      <c r="C7" s="14"/>
      <c r="D7" s="14"/>
      <c r="E7" s="14"/>
      <c r="F7" s="14"/>
      <c r="G7" s="14"/>
      <c r="H7" s="14"/>
      <c r="I7" s="14"/>
      <c r="J7" s="14"/>
      <c r="K7" s="14"/>
      <c r="L7" s="14" t="s">
        <v>129</v>
      </c>
      <c r="M7" s="14"/>
      <c r="N7" s="14"/>
      <c r="O7" s="14"/>
      <c r="P7" s="14"/>
      <c r="Q7" s="14"/>
      <c r="R7" s="14"/>
      <c r="S7" s="14"/>
      <c r="T7" s="14"/>
      <c r="U7" s="14"/>
      <c r="V7" s="14" t="s">
        <v>130</v>
      </c>
    </row>
    <row r="8" spans="1:22" ht="12.75">
      <c r="A8" s="14" t="s">
        <v>0</v>
      </c>
      <c r="B8" s="14">
        <v>0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  <c r="V8" s="14">
        <v>20</v>
      </c>
    </row>
    <row r="9" spans="1:22" ht="12.75">
      <c r="A9" s="5">
        <v>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7">
        <v>0</v>
      </c>
    </row>
    <row r="10" spans="1:22" ht="12.75">
      <c r="A10" s="8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>
        <v>0.013519176136363636</v>
      </c>
      <c r="I10" s="9">
        <v>0.054389204545454546</v>
      </c>
      <c r="J10" s="9">
        <v>0.06833333333333333</v>
      </c>
      <c r="K10" s="9">
        <v>0.06833333333333333</v>
      </c>
      <c r="L10" s="9">
        <v>0.06833333333333333</v>
      </c>
      <c r="M10" s="9">
        <v>0.06833333333333333</v>
      </c>
      <c r="N10" s="9">
        <v>0.025726546397438068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10">
        <v>0</v>
      </c>
    </row>
    <row r="11" spans="1:22" ht="12.75">
      <c r="A11" s="8">
        <v>2.5</v>
      </c>
      <c r="B11" s="9">
        <v>0</v>
      </c>
      <c r="C11" s="9">
        <v>0</v>
      </c>
      <c r="D11" s="9">
        <v>0</v>
      </c>
      <c r="E11" s="9">
        <v>0.0016925899621212123</v>
      </c>
      <c r="F11" s="9">
        <v>0.028664772727272726</v>
      </c>
      <c r="G11">
        <v>0.06341382575757576</v>
      </c>
      <c r="H11" s="9">
        <v>0.11022490530303031</v>
      </c>
      <c r="I11" s="9">
        <v>0.1616015625</v>
      </c>
      <c r="J11" s="9">
        <v>0.17708333333333334</v>
      </c>
      <c r="K11" s="9">
        <v>0.17708333333333334</v>
      </c>
      <c r="L11" s="9">
        <v>0.17708333333333334</v>
      </c>
      <c r="M11" s="9">
        <v>0.17708333333333334</v>
      </c>
      <c r="N11" s="9">
        <v>0.13137347445824024</v>
      </c>
      <c r="O11" s="9">
        <v>0.05781227774281062</v>
      </c>
      <c r="P11" s="9">
        <v>0.0055409840125761715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10">
        <v>0</v>
      </c>
    </row>
    <row r="12" spans="1:22" ht="12.75">
      <c r="A12" s="8">
        <v>5</v>
      </c>
      <c r="B12" s="9">
        <v>0</v>
      </c>
      <c r="C12" s="9">
        <v>0</v>
      </c>
      <c r="D12" s="9">
        <v>0</v>
      </c>
      <c r="E12" s="9">
        <v>0.015201231060606061</v>
      </c>
      <c r="F12" s="9">
        <v>0.1869140625</v>
      </c>
      <c r="G12" s="9">
        <v>0.2399704071969697</v>
      </c>
      <c r="H12" s="9">
        <v>0.2965234375</v>
      </c>
      <c r="I12" s="9">
        <v>0.3569318181818182</v>
      </c>
      <c r="J12" s="9">
        <v>0.375</v>
      </c>
      <c r="K12" s="9">
        <v>0.375</v>
      </c>
      <c r="L12" s="9">
        <v>0.375</v>
      </c>
      <c r="M12" s="9">
        <v>0.375</v>
      </c>
      <c r="N12" s="9">
        <v>0.3241078789739867</v>
      </c>
      <c r="O12" s="9">
        <v>0.24195421212057416</v>
      </c>
      <c r="P12" s="9">
        <v>0.16644717105258647</v>
      </c>
      <c r="Q12" s="9">
        <v>0.09419660992538442</v>
      </c>
      <c r="R12" s="9">
        <v>0.025200162970758225</v>
      </c>
      <c r="S12" s="9">
        <v>0</v>
      </c>
      <c r="T12" s="9">
        <v>0</v>
      </c>
      <c r="U12" s="9">
        <v>0</v>
      </c>
      <c r="V12" s="10">
        <v>0</v>
      </c>
    </row>
    <row r="13" spans="1:22" ht="12.75">
      <c r="A13" s="8">
        <v>7.5</v>
      </c>
      <c r="B13" s="9">
        <v>0</v>
      </c>
      <c r="C13" s="9">
        <v>0</v>
      </c>
      <c r="D13" s="9">
        <v>0</v>
      </c>
      <c r="E13" s="9">
        <v>0.07644412878787879</v>
      </c>
      <c r="F13" s="9">
        <v>0.375474668560606</v>
      </c>
      <c r="G13" s="9">
        <v>0.4380196496212121</v>
      </c>
      <c r="H13" s="9">
        <v>0.5036695075757576</v>
      </c>
      <c r="I13" s="9">
        <v>0.5730658143939393</v>
      </c>
      <c r="J13" s="9">
        <v>0.59375</v>
      </c>
      <c r="K13" s="9">
        <v>0.59375</v>
      </c>
      <c r="L13" s="9">
        <v>0.59375</v>
      </c>
      <c r="M13" s="9">
        <v>0.59375</v>
      </c>
      <c r="N13" s="9">
        <v>0.5376657752723668</v>
      </c>
      <c r="O13" s="9">
        <v>0.44693028423791553</v>
      </c>
      <c r="P13" s="9">
        <v>0.3631584319290018</v>
      </c>
      <c r="Q13" s="9">
        <v>0.2826430595608737</v>
      </c>
      <c r="R13" s="9">
        <v>0.20536287521964314</v>
      </c>
      <c r="S13" s="9">
        <v>0.09013103725684819</v>
      </c>
      <c r="T13" s="9">
        <v>0</v>
      </c>
      <c r="U13" s="9">
        <v>0</v>
      </c>
      <c r="V13" s="10">
        <v>0</v>
      </c>
    </row>
    <row r="14" spans="1:22" ht="12.75">
      <c r="A14" s="8">
        <v>10</v>
      </c>
      <c r="B14" s="9">
        <v>0</v>
      </c>
      <c r="C14" s="9">
        <v>0</v>
      </c>
      <c r="D14" s="9">
        <v>0</v>
      </c>
      <c r="E14" s="9">
        <v>0.19015151515151515</v>
      </c>
      <c r="F14" s="9">
        <v>0.5849431818181817</v>
      </c>
      <c r="G14" s="9">
        <v>0.6569164299242424</v>
      </c>
      <c r="H14" s="9">
        <v>0.731663115530303</v>
      </c>
      <c r="I14" s="9">
        <v>0.8100023674242424</v>
      </c>
      <c r="J14" s="9">
        <v>0.8333333333333334</v>
      </c>
      <c r="K14" s="9">
        <v>0.8333333333333334</v>
      </c>
      <c r="L14" s="9">
        <v>0.8333333333333334</v>
      </c>
      <c r="M14" s="9">
        <v>0.8333333333333334</v>
      </c>
      <c r="N14" s="9">
        <v>0.7720459804692757</v>
      </c>
      <c r="O14" s="9">
        <v>0.6727393112107296</v>
      </c>
      <c r="P14" s="9">
        <v>0.5807038305449949</v>
      </c>
      <c r="Q14" s="9">
        <v>0.4919236469359407</v>
      </c>
      <c r="R14" s="9">
        <v>0.4063183242644343</v>
      </c>
      <c r="S14" s="9">
        <v>0.27487860829631977</v>
      </c>
      <c r="T14" s="9">
        <v>0.125058056222187</v>
      </c>
      <c r="U14" s="9">
        <v>0.015269850910135089</v>
      </c>
      <c r="V14" s="10">
        <v>0</v>
      </c>
    </row>
    <row r="15" spans="1:22" ht="12.75">
      <c r="A15" s="8">
        <v>15</v>
      </c>
      <c r="B15" s="9">
        <v>0</v>
      </c>
      <c r="C15" s="9">
        <v>0</v>
      </c>
      <c r="D15" s="9">
        <v>0.055588304924242424</v>
      </c>
      <c r="E15" s="9">
        <v>0.5668134469696969</v>
      </c>
      <c r="F15" s="9">
        <v>1.0467341382575759</v>
      </c>
      <c r="G15" s="9">
        <v>1.1316714015151514</v>
      </c>
      <c r="H15" s="9">
        <v>1.2180752840909093</v>
      </c>
      <c r="I15" s="9">
        <v>1.3071141098484849</v>
      </c>
      <c r="J15" s="9">
        <v>1.3333333333333333</v>
      </c>
      <c r="K15" s="9">
        <v>1.3333333333333333</v>
      </c>
      <c r="L15" s="9">
        <v>1.3333333333333333</v>
      </c>
      <c r="M15" s="9">
        <v>1.3333333333333333</v>
      </c>
      <c r="N15" s="9">
        <v>1.264254702474497</v>
      </c>
      <c r="O15" s="9">
        <v>1.1520747055023401</v>
      </c>
      <c r="P15" s="9">
        <v>1.0476402336490591</v>
      </c>
      <c r="Q15" s="9">
        <v>0.9464622417365636</v>
      </c>
      <c r="R15" s="9">
        <v>0.8480273580633277</v>
      </c>
      <c r="S15" s="9">
        <v>0.6892594706197425</v>
      </c>
      <c r="T15" s="9">
        <v>0.5025341173568806</v>
      </c>
      <c r="U15" s="9">
        <v>0.34590725014316165</v>
      </c>
      <c r="V15" s="10">
        <v>0.11956829109135295</v>
      </c>
    </row>
    <row r="16" spans="1:22" ht="12.75">
      <c r="A16" s="8">
        <v>18</v>
      </c>
      <c r="B16" s="9">
        <v>0</v>
      </c>
      <c r="C16" s="9">
        <v>0</v>
      </c>
      <c r="D16" s="9">
        <v>0.18846946022727273</v>
      </c>
      <c r="E16" s="9">
        <v>0.8254711174242424</v>
      </c>
      <c r="F16" s="9">
        <v>1.336245265151515</v>
      </c>
      <c r="G16" s="9">
        <v>1.4248579545454545</v>
      </c>
      <c r="H16" s="9">
        <v>1.5144294507575757</v>
      </c>
      <c r="I16" s="9">
        <v>1.6065340909090908</v>
      </c>
      <c r="J16" s="9">
        <v>1.6333333333333333</v>
      </c>
      <c r="K16" s="9">
        <v>1.6333333333333333</v>
      </c>
      <c r="L16" s="9">
        <v>1.6333333333333333</v>
      </c>
      <c r="M16" s="9">
        <v>1.6333333333333333</v>
      </c>
      <c r="N16" s="9">
        <v>1.562093091246897</v>
      </c>
      <c r="O16" s="9">
        <v>1.4462887373773314</v>
      </c>
      <c r="P16" s="9">
        <v>1.3383742204874387</v>
      </c>
      <c r="Q16" s="9">
        <v>1.233724463727066</v>
      </c>
      <c r="R16" s="9">
        <v>1.1312985290839026</v>
      </c>
      <c r="S16" s="9">
        <v>0.9588269292850679</v>
      </c>
      <c r="T16" s="9">
        <v>0.7509350478491518</v>
      </c>
      <c r="U16" s="9">
        <v>0.5747255342788378</v>
      </c>
      <c r="V16" s="10">
        <v>0.22839717739433216</v>
      </c>
    </row>
    <row r="17" spans="1:22" ht="12.75">
      <c r="A17" s="8">
        <v>20</v>
      </c>
      <c r="B17" s="9">
        <v>0</v>
      </c>
      <c r="C17" s="9">
        <v>0.005559422348484849</v>
      </c>
      <c r="D17" s="9">
        <v>0.3157267992424242</v>
      </c>
      <c r="E17" s="9">
        <v>1.0056936553030302</v>
      </c>
      <c r="F17" s="9">
        <v>1.5342092803030303</v>
      </c>
      <c r="G17" s="9">
        <v>1.623650568181818</v>
      </c>
      <c r="H17" s="9">
        <v>1.7138375946969695</v>
      </c>
      <c r="I17" s="9">
        <v>1.806628787878788</v>
      </c>
      <c r="J17" s="9">
        <v>1.8333333333333333</v>
      </c>
      <c r="K17" s="9">
        <v>1.8333333333333333</v>
      </c>
      <c r="L17" s="9">
        <v>1.8333333333333333</v>
      </c>
      <c r="M17" s="9">
        <v>1.8333333333333333</v>
      </c>
      <c r="N17" s="9">
        <v>1.7617047839485236</v>
      </c>
      <c r="O17" s="9">
        <v>1.6451788707749697</v>
      </c>
      <c r="P17" s="9">
        <v>1.5366019387863339</v>
      </c>
      <c r="Q17" s="9">
        <v>1.4312897669272182</v>
      </c>
      <c r="R17" s="9">
        <v>1.32775192122545</v>
      </c>
      <c r="S17" s="9">
        <v>1.146845174874584</v>
      </c>
      <c r="T17" s="9">
        <v>0.924868692401641</v>
      </c>
      <c r="U17" s="9">
        <v>0.735041817015735</v>
      </c>
      <c r="V17" s="10">
        <v>0.30397400862450885</v>
      </c>
    </row>
    <row r="18" spans="1:22" ht="12.75">
      <c r="A18" s="8">
        <v>25</v>
      </c>
      <c r="B18" s="9">
        <v>0</v>
      </c>
      <c r="C18" s="9">
        <v>0.15687973484848483</v>
      </c>
      <c r="D18" s="9">
        <v>0.707734375</v>
      </c>
      <c r="E18" s="9">
        <v>1.4746330492424242</v>
      </c>
      <c r="F18" s="9">
        <v>2.0340435606060603</v>
      </c>
      <c r="G18" s="9">
        <v>2.1239938446969697</v>
      </c>
      <c r="H18" s="9">
        <v>2.2141690340909093</v>
      </c>
      <c r="I18" s="9">
        <v>2.307327178030303</v>
      </c>
      <c r="J18" s="9">
        <v>2.3333333333333335</v>
      </c>
      <c r="K18" s="9">
        <v>2.3333333333333335</v>
      </c>
      <c r="L18" s="9">
        <v>2.3333333333333335</v>
      </c>
      <c r="M18" s="9">
        <v>2.3333333333333335</v>
      </c>
      <c r="N18" s="9">
        <v>2.261792696976474</v>
      </c>
      <c r="O18" s="9">
        <v>2.1451603242334794</v>
      </c>
      <c r="P18" s="9">
        <v>2.0365833922448435</v>
      </c>
      <c r="Q18" s="9">
        <v>1.9312712203857276</v>
      </c>
      <c r="R18" s="9">
        <v>1.826585977102208</v>
      </c>
      <c r="S18" s="9">
        <v>1.6269979420826794</v>
      </c>
      <c r="T18" s="9">
        <v>1.372772490257888</v>
      </c>
      <c r="U18" s="9">
        <v>1.1516299410788984</v>
      </c>
      <c r="V18" s="10">
        <v>0.5017865346025847</v>
      </c>
    </row>
    <row r="19" spans="1:22" ht="12.75">
      <c r="A19" s="8">
        <v>30</v>
      </c>
      <c r="B19" s="9">
        <v>0.05635298295454545</v>
      </c>
      <c r="C19" s="9">
        <v>0.4980255681818182</v>
      </c>
      <c r="D19" s="9">
        <v>1.1319247159090908</v>
      </c>
      <c r="E19" s="9">
        <v>1.9465317234848483</v>
      </c>
      <c r="F19" s="9">
        <v>2.533889678030303</v>
      </c>
      <c r="G19" s="9">
        <v>2.6243252840909093</v>
      </c>
      <c r="H19" s="9">
        <v>2.7145123106060605</v>
      </c>
      <c r="I19" s="9">
        <v>2.8080255681818183</v>
      </c>
      <c r="J19" s="9">
        <v>2.8333333333333335</v>
      </c>
      <c r="K19" s="9">
        <v>2.8333333333333335</v>
      </c>
      <c r="L19" s="9">
        <v>2.8333333333333335</v>
      </c>
      <c r="M19" s="9">
        <v>2.8333333333333335</v>
      </c>
      <c r="N19" s="9">
        <v>2.7618687811633755</v>
      </c>
      <c r="O19" s="9">
        <v>2.6451536065330377</v>
      </c>
      <c r="P19" s="9">
        <v>2.536564845703353</v>
      </c>
      <c r="Q19" s="9">
        <v>2.431240845003188</v>
      </c>
      <c r="R19" s="9">
        <v>2.3256684386409945</v>
      </c>
      <c r="S19" s="9">
        <v>2.1107620544630303</v>
      </c>
      <c r="T19" s="9">
        <v>1.8301346294169036</v>
      </c>
      <c r="U19" s="9">
        <v>1.5833613474529726</v>
      </c>
      <c r="V19" s="10">
        <v>0.7090160009397577</v>
      </c>
    </row>
    <row r="20" spans="1:22" ht="12.75">
      <c r="A20" s="8">
        <v>35</v>
      </c>
      <c r="B20" s="9">
        <v>0.27671046401515154</v>
      </c>
      <c r="C20" s="9">
        <v>0.8787642045454546</v>
      </c>
      <c r="D20" s="9">
        <v>1.5577296401515153</v>
      </c>
      <c r="E20" s="9">
        <v>2.418927556818182</v>
      </c>
      <c r="F20" s="9">
        <v>3.0337594696969696</v>
      </c>
      <c r="G20" s="9">
        <v>3.1246567234848484</v>
      </c>
      <c r="H20" s="9">
        <v>3.214855587121212</v>
      </c>
      <c r="I20" s="9">
        <v>3.308723958333333</v>
      </c>
      <c r="J20" s="9">
        <v>3.3333333333333335</v>
      </c>
      <c r="K20" s="9">
        <v>3.3333333333333335</v>
      </c>
      <c r="L20" s="9">
        <v>3.3333333333333335</v>
      </c>
      <c r="M20" s="9">
        <v>3.3333333333333335</v>
      </c>
      <c r="N20" s="9">
        <v>3.261956694191326</v>
      </c>
      <c r="O20" s="9">
        <v>3.1451350599915475</v>
      </c>
      <c r="P20" s="9">
        <v>3.036546299161863</v>
      </c>
      <c r="Q20" s="9">
        <v>2.9312222984616976</v>
      </c>
      <c r="R20" s="9">
        <v>2.824987477000761</v>
      </c>
      <c r="S20" s="9">
        <v>2.5981339633633214</v>
      </c>
      <c r="T20" s="9">
        <v>2.296971670256156</v>
      </c>
      <c r="U20" s="9">
        <v>2.0302549622836366</v>
      </c>
      <c r="V20" s="10">
        <v>0.9256624076360278</v>
      </c>
    </row>
    <row r="21" spans="1:22" ht="12.75">
      <c r="A21" s="11">
        <v>40</v>
      </c>
      <c r="B21" s="12">
        <v>0.5003314393939394</v>
      </c>
      <c r="C21" s="12">
        <v>1.2638967803030303</v>
      </c>
      <c r="D21" s="12">
        <v>1.9861860795454547</v>
      </c>
      <c r="E21" s="12">
        <v>2.8923295454545452</v>
      </c>
      <c r="F21" s="12">
        <v>3.533700284090909</v>
      </c>
      <c r="G21" s="12">
        <v>3.625</v>
      </c>
      <c r="H21" s="12">
        <v>3.7151988636363633</v>
      </c>
      <c r="I21" s="12">
        <v>3.8094341856060607</v>
      </c>
      <c r="J21" s="12">
        <v>3.8333333333333335</v>
      </c>
      <c r="K21" s="12">
        <v>3.8333333333333335</v>
      </c>
      <c r="L21" s="12">
        <v>3.8333333333333335</v>
      </c>
      <c r="M21" s="12">
        <v>3.8333333333333335</v>
      </c>
      <c r="N21" s="12">
        <v>3.7620327783782272</v>
      </c>
      <c r="O21" s="12">
        <v>3.6451283422911063</v>
      </c>
      <c r="P21" s="12">
        <v>3.536527752620372</v>
      </c>
      <c r="Q21" s="12">
        <v>3.4311919230791585</v>
      </c>
      <c r="R21" s="12">
        <v>3.3245430921815067</v>
      </c>
      <c r="S21" s="12">
        <v>3.089113668783553</v>
      </c>
      <c r="T21" s="12">
        <v>2.7732836127756464</v>
      </c>
      <c r="U21" s="12">
        <v>2.492277664815952</v>
      </c>
      <c r="V21" s="13">
        <v>1.1517257546913953</v>
      </c>
    </row>
    <row r="23" ht="12.75">
      <c r="A23" t="s">
        <v>1</v>
      </c>
    </row>
    <row r="24" spans="1:23" ht="12.75">
      <c r="A24" t="str">
        <f aca="true" t="shared" si="0" ref="A24:L24">A8</f>
        <v>wl/sta</v>
      </c>
      <c r="B24">
        <f t="shared" si="0"/>
        <v>0</v>
      </c>
      <c r="C24">
        <f t="shared" si="0"/>
        <v>1</v>
      </c>
      <c r="D24">
        <f t="shared" si="0"/>
        <v>2</v>
      </c>
      <c r="E24">
        <f t="shared" si="0"/>
        <v>3</v>
      </c>
      <c r="F24">
        <f t="shared" si="0"/>
        <v>4</v>
      </c>
      <c r="G24">
        <f t="shared" si="0"/>
        <v>5</v>
      </c>
      <c r="H24">
        <f t="shared" si="0"/>
        <v>6</v>
      </c>
      <c r="I24">
        <f t="shared" si="0"/>
        <v>7</v>
      </c>
      <c r="J24">
        <f t="shared" si="0"/>
        <v>8</v>
      </c>
      <c r="K24">
        <f t="shared" si="0"/>
        <v>9</v>
      </c>
      <c r="L24">
        <f t="shared" si="0"/>
        <v>10</v>
      </c>
      <c r="M24">
        <f aca="true" t="shared" si="1" ref="M24:W24">L8</f>
        <v>10</v>
      </c>
      <c r="N24">
        <f t="shared" si="1"/>
        <v>11</v>
      </c>
      <c r="O24">
        <f t="shared" si="1"/>
        <v>12</v>
      </c>
      <c r="P24">
        <f t="shared" si="1"/>
        <v>13</v>
      </c>
      <c r="Q24">
        <f t="shared" si="1"/>
        <v>14</v>
      </c>
      <c r="R24">
        <f t="shared" si="1"/>
        <v>15</v>
      </c>
      <c r="S24">
        <f t="shared" si="1"/>
        <v>16</v>
      </c>
      <c r="T24">
        <f t="shared" si="1"/>
        <v>17</v>
      </c>
      <c r="U24">
        <f t="shared" si="1"/>
        <v>18</v>
      </c>
      <c r="V24">
        <f t="shared" si="1"/>
        <v>19</v>
      </c>
      <c r="W24">
        <f t="shared" si="1"/>
        <v>20</v>
      </c>
    </row>
    <row r="25" spans="1:23" ht="12.75">
      <c r="A25">
        <f aca="true" t="shared" si="2" ref="A25:L25">A9</f>
        <v>0</v>
      </c>
      <c r="B25">
        <f t="shared" si="2"/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si="2"/>
        <v>0</v>
      </c>
      <c r="I25">
        <f t="shared" si="2"/>
        <v>0</v>
      </c>
      <c r="J25">
        <f t="shared" si="2"/>
        <v>0</v>
      </c>
      <c r="K25">
        <f t="shared" si="2"/>
        <v>0</v>
      </c>
      <c r="L25">
        <f t="shared" si="2"/>
        <v>0</v>
      </c>
      <c r="M25">
        <f aca="true" t="shared" si="3" ref="M25:W25">-L9</f>
        <v>0</v>
      </c>
      <c r="N25">
        <f t="shared" si="3"/>
        <v>0</v>
      </c>
      <c r="O25">
        <f t="shared" si="3"/>
        <v>0</v>
      </c>
      <c r="P25">
        <f t="shared" si="3"/>
        <v>0</v>
      </c>
      <c r="Q25">
        <f t="shared" si="3"/>
        <v>0</v>
      </c>
      <c r="R25">
        <f t="shared" si="3"/>
        <v>0</v>
      </c>
      <c r="S25">
        <f t="shared" si="3"/>
        <v>0</v>
      </c>
      <c r="T25">
        <f t="shared" si="3"/>
        <v>0</v>
      </c>
      <c r="U25">
        <f t="shared" si="3"/>
        <v>0</v>
      </c>
      <c r="V25">
        <f t="shared" si="3"/>
        <v>0</v>
      </c>
      <c r="W25">
        <f t="shared" si="3"/>
        <v>0</v>
      </c>
    </row>
    <row r="26" spans="1:23" ht="12.75">
      <c r="A26">
        <f aca="true" t="shared" si="4" ref="A26:L26">A10</f>
        <v>1</v>
      </c>
      <c r="B26">
        <f t="shared" si="4"/>
        <v>0</v>
      </c>
      <c r="C26">
        <f t="shared" si="4"/>
        <v>0</v>
      </c>
      <c r="D26">
        <f t="shared" si="4"/>
        <v>0</v>
      </c>
      <c r="E26">
        <f t="shared" si="4"/>
        <v>0</v>
      </c>
      <c r="F26">
        <f t="shared" si="4"/>
        <v>0</v>
      </c>
      <c r="G26">
        <f t="shared" si="4"/>
        <v>0</v>
      </c>
      <c r="H26">
        <f t="shared" si="4"/>
        <v>0.013519176136363636</v>
      </c>
      <c r="I26">
        <f t="shared" si="4"/>
        <v>0.054389204545454546</v>
      </c>
      <c r="J26">
        <f t="shared" si="4"/>
        <v>0.06833333333333333</v>
      </c>
      <c r="K26">
        <f t="shared" si="4"/>
        <v>0.06833333333333333</v>
      </c>
      <c r="L26">
        <f t="shared" si="4"/>
        <v>0.06833333333333333</v>
      </c>
      <c r="M26">
        <f aca="true" t="shared" si="5" ref="M26:W26">-L10</f>
        <v>-0.06833333333333333</v>
      </c>
      <c r="N26">
        <f t="shared" si="5"/>
        <v>-0.06833333333333333</v>
      </c>
      <c r="O26">
        <f t="shared" si="5"/>
        <v>-0.025726546397438068</v>
      </c>
      <c r="P26">
        <f t="shared" si="5"/>
        <v>0</v>
      </c>
      <c r="Q26">
        <f t="shared" si="5"/>
        <v>0</v>
      </c>
      <c r="R26">
        <f t="shared" si="5"/>
        <v>0</v>
      </c>
      <c r="S26">
        <f t="shared" si="5"/>
        <v>0</v>
      </c>
      <c r="T26">
        <f t="shared" si="5"/>
        <v>0</v>
      </c>
      <c r="U26">
        <f t="shared" si="5"/>
        <v>0</v>
      </c>
      <c r="V26">
        <f t="shared" si="5"/>
        <v>0</v>
      </c>
      <c r="W26">
        <f t="shared" si="5"/>
        <v>0</v>
      </c>
    </row>
    <row r="27" spans="1:23" ht="12.75">
      <c r="A27">
        <f aca="true" t="shared" si="6" ref="A27:L27">A11</f>
        <v>2.5</v>
      </c>
      <c r="B27">
        <f t="shared" si="6"/>
        <v>0</v>
      </c>
      <c r="C27">
        <f t="shared" si="6"/>
        <v>0</v>
      </c>
      <c r="D27">
        <f t="shared" si="6"/>
        <v>0</v>
      </c>
      <c r="E27">
        <f t="shared" si="6"/>
        <v>0.0016925899621212123</v>
      </c>
      <c r="F27">
        <f t="shared" si="6"/>
        <v>0.028664772727272726</v>
      </c>
      <c r="G27">
        <f t="shared" si="6"/>
        <v>0.06341382575757576</v>
      </c>
      <c r="H27">
        <f t="shared" si="6"/>
        <v>0.11022490530303031</v>
      </c>
      <c r="I27">
        <f t="shared" si="6"/>
        <v>0.1616015625</v>
      </c>
      <c r="J27">
        <f t="shared" si="6"/>
        <v>0.17708333333333334</v>
      </c>
      <c r="K27">
        <f t="shared" si="6"/>
        <v>0.17708333333333334</v>
      </c>
      <c r="L27">
        <f t="shared" si="6"/>
        <v>0.17708333333333334</v>
      </c>
      <c r="M27">
        <f aca="true" t="shared" si="7" ref="M27:W27">-L11</f>
        <v>-0.17708333333333334</v>
      </c>
      <c r="N27">
        <f t="shared" si="7"/>
        <v>-0.17708333333333334</v>
      </c>
      <c r="O27">
        <f t="shared" si="7"/>
        <v>-0.13137347445824024</v>
      </c>
      <c r="P27">
        <f t="shared" si="7"/>
        <v>-0.05781227774281062</v>
      </c>
      <c r="Q27">
        <f t="shared" si="7"/>
        <v>-0.0055409840125761715</v>
      </c>
      <c r="R27">
        <f t="shared" si="7"/>
        <v>0</v>
      </c>
      <c r="S27">
        <f t="shared" si="7"/>
        <v>0</v>
      </c>
      <c r="T27">
        <f t="shared" si="7"/>
        <v>0</v>
      </c>
      <c r="U27">
        <f t="shared" si="7"/>
        <v>0</v>
      </c>
      <c r="V27">
        <f t="shared" si="7"/>
        <v>0</v>
      </c>
      <c r="W27">
        <f t="shared" si="7"/>
        <v>0</v>
      </c>
    </row>
    <row r="28" spans="1:23" ht="12.75">
      <c r="A28">
        <f aca="true" t="shared" si="8" ref="A28:L28">A12</f>
        <v>5</v>
      </c>
      <c r="B28">
        <f t="shared" si="8"/>
        <v>0</v>
      </c>
      <c r="C28">
        <f t="shared" si="8"/>
        <v>0</v>
      </c>
      <c r="D28">
        <f t="shared" si="8"/>
        <v>0</v>
      </c>
      <c r="E28">
        <f t="shared" si="8"/>
        <v>0.015201231060606061</v>
      </c>
      <c r="F28">
        <f t="shared" si="8"/>
        <v>0.1869140625</v>
      </c>
      <c r="G28">
        <f t="shared" si="8"/>
        <v>0.2399704071969697</v>
      </c>
      <c r="H28">
        <f t="shared" si="8"/>
        <v>0.2965234375</v>
      </c>
      <c r="I28">
        <f t="shared" si="8"/>
        <v>0.3569318181818182</v>
      </c>
      <c r="J28">
        <f t="shared" si="8"/>
        <v>0.375</v>
      </c>
      <c r="K28">
        <f t="shared" si="8"/>
        <v>0.375</v>
      </c>
      <c r="L28">
        <f t="shared" si="8"/>
        <v>0.375</v>
      </c>
      <c r="M28">
        <f aca="true" t="shared" si="9" ref="M28:W28">-L12</f>
        <v>-0.375</v>
      </c>
      <c r="N28">
        <f t="shared" si="9"/>
        <v>-0.375</v>
      </c>
      <c r="O28">
        <f t="shared" si="9"/>
        <v>-0.3241078789739867</v>
      </c>
      <c r="P28">
        <f t="shared" si="9"/>
        <v>-0.24195421212057416</v>
      </c>
      <c r="Q28">
        <f t="shared" si="9"/>
        <v>-0.16644717105258647</v>
      </c>
      <c r="R28">
        <f t="shared" si="9"/>
        <v>-0.09419660992538442</v>
      </c>
      <c r="S28">
        <f t="shared" si="9"/>
        <v>-0.025200162970758225</v>
      </c>
      <c r="T28">
        <f t="shared" si="9"/>
        <v>0</v>
      </c>
      <c r="U28">
        <f t="shared" si="9"/>
        <v>0</v>
      </c>
      <c r="V28">
        <f t="shared" si="9"/>
        <v>0</v>
      </c>
      <c r="W28">
        <f t="shared" si="9"/>
        <v>0</v>
      </c>
    </row>
    <row r="29" spans="1:23" ht="12.75">
      <c r="A29">
        <f aca="true" t="shared" si="10" ref="A29:L29">A13</f>
        <v>7.5</v>
      </c>
      <c r="B29">
        <f t="shared" si="10"/>
        <v>0</v>
      </c>
      <c r="C29">
        <f t="shared" si="10"/>
        <v>0</v>
      </c>
      <c r="D29">
        <f t="shared" si="10"/>
        <v>0</v>
      </c>
      <c r="E29">
        <f t="shared" si="10"/>
        <v>0.07644412878787879</v>
      </c>
      <c r="F29">
        <f t="shared" si="10"/>
        <v>0.375474668560606</v>
      </c>
      <c r="G29">
        <f t="shared" si="10"/>
        <v>0.4380196496212121</v>
      </c>
      <c r="H29">
        <f t="shared" si="10"/>
        <v>0.5036695075757576</v>
      </c>
      <c r="I29">
        <f t="shared" si="10"/>
        <v>0.5730658143939393</v>
      </c>
      <c r="J29">
        <f t="shared" si="10"/>
        <v>0.59375</v>
      </c>
      <c r="K29">
        <f t="shared" si="10"/>
        <v>0.59375</v>
      </c>
      <c r="L29">
        <f t="shared" si="10"/>
        <v>0.59375</v>
      </c>
      <c r="M29">
        <f aca="true" t="shared" si="11" ref="M29:W29">-L13</f>
        <v>-0.59375</v>
      </c>
      <c r="N29">
        <f t="shared" si="11"/>
        <v>-0.59375</v>
      </c>
      <c r="O29">
        <f t="shared" si="11"/>
        <v>-0.5376657752723668</v>
      </c>
      <c r="P29">
        <f t="shared" si="11"/>
        <v>-0.44693028423791553</v>
      </c>
      <c r="Q29">
        <f t="shared" si="11"/>
        <v>-0.3631584319290018</v>
      </c>
      <c r="R29">
        <f t="shared" si="11"/>
        <v>-0.2826430595608737</v>
      </c>
      <c r="S29">
        <f t="shared" si="11"/>
        <v>-0.20536287521964314</v>
      </c>
      <c r="T29">
        <f t="shared" si="11"/>
        <v>-0.09013103725684819</v>
      </c>
      <c r="U29">
        <f t="shared" si="11"/>
        <v>0</v>
      </c>
      <c r="V29">
        <f t="shared" si="11"/>
        <v>0</v>
      </c>
      <c r="W29">
        <f t="shared" si="11"/>
        <v>0</v>
      </c>
    </row>
    <row r="30" spans="1:23" ht="12.75">
      <c r="A30">
        <f aca="true" t="shared" si="12" ref="A30:L30">A14</f>
        <v>10</v>
      </c>
      <c r="B30">
        <f t="shared" si="12"/>
        <v>0</v>
      </c>
      <c r="C30">
        <f t="shared" si="12"/>
        <v>0</v>
      </c>
      <c r="D30">
        <f t="shared" si="12"/>
        <v>0</v>
      </c>
      <c r="E30">
        <f t="shared" si="12"/>
        <v>0.19015151515151515</v>
      </c>
      <c r="F30">
        <f t="shared" si="12"/>
        <v>0.5849431818181817</v>
      </c>
      <c r="G30">
        <f t="shared" si="12"/>
        <v>0.6569164299242424</v>
      </c>
      <c r="H30">
        <f t="shared" si="12"/>
        <v>0.731663115530303</v>
      </c>
      <c r="I30">
        <f t="shared" si="12"/>
        <v>0.8100023674242424</v>
      </c>
      <c r="J30">
        <f t="shared" si="12"/>
        <v>0.8333333333333334</v>
      </c>
      <c r="K30">
        <f t="shared" si="12"/>
        <v>0.8333333333333334</v>
      </c>
      <c r="L30">
        <f t="shared" si="12"/>
        <v>0.8333333333333334</v>
      </c>
      <c r="M30">
        <f aca="true" t="shared" si="13" ref="M30:W30">-L14</f>
        <v>-0.8333333333333334</v>
      </c>
      <c r="N30">
        <f t="shared" si="13"/>
        <v>-0.8333333333333334</v>
      </c>
      <c r="O30">
        <f t="shared" si="13"/>
        <v>-0.7720459804692757</v>
      </c>
      <c r="P30">
        <f t="shared" si="13"/>
        <v>-0.6727393112107296</v>
      </c>
      <c r="Q30">
        <f t="shared" si="13"/>
        <v>-0.5807038305449949</v>
      </c>
      <c r="R30">
        <f t="shared" si="13"/>
        <v>-0.4919236469359407</v>
      </c>
      <c r="S30">
        <f t="shared" si="13"/>
        <v>-0.4063183242644343</v>
      </c>
      <c r="T30">
        <f t="shared" si="13"/>
        <v>-0.27487860829631977</v>
      </c>
      <c r="U30">
        <f t="shared" si="13"/>
        <v>-0.125058056222187</v>
      </c>
      <c r="V30">
        <f t="shared" si="13"/>
        <v>-0.015269850910135089</v>
      </c>
      <c r="W30">
        <f t="shared" si="13"/>
        <v>0</v>
      </c>
    </row>
    <row r="31" spans="1:23" ht="12.75">
      <c r="A31">
        <f aca="true" t="shared" si="14" ref="A31:L31">A15</f>
        <v>15</v>
      </c>
      <c r="B31">
        <f t="shared" si="14"/>
        <v>0</v>
      </c>
      <c r="C31">
        <f t="shared" si="14"/>
        <v>0</v>
      </c>
      <c r="D31">
        <f t="shared" si="14"/>
        <v>0.055588304924242424</v>
      </c>
      <c r="E31">
        <f t="shared" si="14"/>
        <v>0.5668134469696969</v>
      </c>
      <c r="F31">
        <f t="shared" si="14"/>
        <v>1.0467341382575759</v>
      </c>
      <c r="G31">
        <f t="shared" si="14"/>
        <v>1.1316714015151514</v>
      </c>
      <c r="H31">
        <f t="shared" si="14"/>
        <v>1.2180752840909093</v>
      </c>
      <c r="I31">
        <f t="shared" si="14"/>
        <v>1.3071141098484849</v>
      </c>
      <c r="J31">
        <f t="shared" si="14"/>
        <v>1.3333333333333333</v>
      </c>
      <c r="K31">
        <f t="shared" si="14"/>
        <v>1.3333333333333333</v>
      </c>
      <c r="L31">
        <f t="shared" si="14"/>
        <v>1.3333333333333333</v>
      </c>
      <c r="M31">
        <f aca="true" t="shared" si="15" ref="M31:W31">-L15</f>
        <v>-1.3333333333333333</v>
      </c>
      <c r="N31">
        <f t="shared" si="15"/>
        <v>-1.3333333333333333</v>
      </c>
      <c r="O31">
        <f t="shared" si="15"/>
        <v>-1.264254702474497</v>
      </c>
      <c r="P31">
        <f t="shared" si="15"/>
        <v>-1.1520747055023401</v>
      </c>
      <c r="Q31">
        <f t="shared" si="15"/>
        <v>-1.0476402336490591</v>
      </c>
      <c r="R31">
        <f t="shared" si="15"/>
        <v>-0.9464622417365636</v>
      </c>
      <c r="S31">
        <f t="shared" si="15"/>
        <v>-0.8480273580633277</v>
      </c>
      <c r="T31">
        <f t="shared" si="15"/>
        <v>-0.6892594706197425</v>
      </c>
      <c r="U31">
        <f t="shared" si="15"/>
        <v>-0.5025341173568806</v>
      </c>
      <c r="V31">
        <f t="shared" si="15"/>
        <v>-0.34590725014316165</v>
      </c>
      <c r="W31">
        <f t="shared" si="15"/>
        <v>-0.11956829109135295</v>
      </c>
    </row>
    <row r="32" spans="1:23" ht="12.75">
      <c r="A32">
        <f aca="true" t="shared" si="16" ref="A32:L32">A16</f>
        <v>18</v>
      </c>
      <c r="B32">
        <f t="shared" si="16"/>
        <v>0</v>
      </c>
      <c r="C32">
        <f t="shared" si="16"/>
        <v>0</v>
      </c>
      <c r="D32">
        <f t="shared" si="16"/>
        <v>0.18846946022727273</v>
      </c>
      <c r="E32">
        <f t="shared" si="16"/>
        <v>0.8254711174242424</v>
      </c>
      <c r="F32">
        <f t="shared" si="16"/>
        <v>1.336245265151515</v>
      </c>
      <c r="G32">
        <f t="shared" si="16"/>
        <v>1.4248579545454545</v>
      </c>
      <c r="H32">
        <f t="shared" si="16"/>
        <v>1.5144294507575757</v>
      </c>
      <c r="I32">
        <f t="shared" si="16"/>
        <v>1.6065340909090908</v>
      </c>
      <c r="J32">
        <f t="shared" si="16"/>
        <v>1.6333333333333333</v>
      </c>
      <c r="K32">
        <f t="shared" si="16"/>
        <v>1.6333333333333333</v>
      </c>
      <c r="L32">
        <f t="shared" si="16"/>
        <v>1.6333333333333333</v>
      </c>
      <c r="M32">
        <f aca="true" t="shared" si="17" ref="M32:W32">-L16</f>
        <v>-1.6333333333333333</v>
      </c>
      <c r="N32">
        <f t="shared" si="17"/>
        <v>-1.6333333333333333</v>
      </c>
      <c r="O32">
        <f t="shared" si="17"/>
        <v>-1.562093091246897</v>
      </c>
      <c r="P32">
        <f t="shared" si="17"/>
        <v>-1.4462887373773314</v>
      </c>
      <c r="Q32">
        <f t="shared" si="17"/>
        <v>-1.3383742204874387</v>
      </c>
      <c r="R32">
        <f t="shared" si="17"/>
        <v>-1.233724463727066</v>
      </c>
      <c r="S32">
        <f t="shared" si="17"/>
        <v>-1.1312985290839026</v>
      </c>
      <c r="T32">
        <f t="shared" si="17"/>
        <v>-0.9588269292850679</v>
      </c>
      <c r="U32">
        <f t="shared" si="17"/>
        <v>-0.7509350478491518</v>
      </c>
      <c r="V32">
        <f t="shared" si="17"/>
        <v>-0.5747255342788378</v>
      </c>
      <c r="W32">
        <f t="shared" si="17"/>
        <v>-0.22839717739433216</v>
      </c>
    </row>
    <row r="33" spans="1:23" ht="12.75">
      <c r="A33">
        <f aca="true" t="shared" si="18" ref="A33:L33">A17</f>
        <v>20</v>
      </c>
      <c r="B33">
        <f t="shared" si="18"/>
        <v>0</v>
      </c>
      <c r="C33">
        <f t="shared" si="18"/>
        <v>0.005559422348484849</v>
      </c>
      <c r="D33">
        <f t="shared" si="18"/>
        <v>0.3157267992424242</v>
      </c>
      <c r="E33">
        <f t="shared" si="18"/>
        <v>1.0056936553030302</v>
      </c>
      <c r="F33">
        <f t="shared" si="18"/>
        <v>1.5342092803030303</v>
      </c>
      <c r="G33">
        <f t="shared" si="18"/>
        <v>1.623650568181818</v>
      </c>
      <c r="H33">
        <f t="shared" si="18"/>
        <v>1.7138375946969695</v>
      </c>
      <c r="I33">
        <f t="shared" si="18"/>
        <v>1.806628787878788</v>
      </c>
      <c r="J33">
        <f t="shared" si="18"/>
        <v>1.8333333333333333</v>
      </c>
      <c r="K33">
        <f t="shared" si="18"/>
        <v>1.8333333333333333</v>
      </c>
      <c r="L33">
        <f t="shared" si="18"/>
        <v>1.8333333333333333</v>
      </c>
      <c r="M33">
        <f aca="true" t="shared" si="19" ref="M33:W33">-L17</f>
        <v>-1.8333333333333333</v>
      </c>
      <c r="N33">
        <f t="shared" si="19"/>
        <v>-1.8333333333333333</v>
      </c>
      <c r="O33">
        <f t="shared" si="19"/>
        <v>-1.7617047839485236</v>
      </c>
      <c r="P33">
        <f t="shared" si="19"/>
        <v>-1.6451788707749697</v>
      </c>
      <c r="Q33">
        <f t="shared" si="19"/>
        <v>-1.5366019387863339</v>
      </c>
      <c r="R33">
        <f t="shared" si="19"/>
        <v>-1.4312897669272182</v>
      </c>
      <c r="S33">
        <f t="shared" si="19"/>
        <v>-1.32775192122545</v>
      </c>
      <c r="T33">
        <f t="shared" si="19"/>
        <v>-1.146845174874584</v>
      </c>
      <c r="U33">
        <f t="shared" si="19"/>
        <v>-0.924868692401641</v>
      </c>
      <c r="V33">
        <f t="shared" si="19"/>
        <v>-0.735041817015735</v>
      </c>
      <c r="W33">
        <f t="shared" si="19"/>
        <v>-0.30397400862450885</v>
      </c>
    </row>
    <row r="34" spans="1:23" ht="12.75">
      <c r="A34">
        <f aca="true" t="shared" si="20" ref="A34:L34">A18</f>
        <v>25</v>
      </c>
      <c r="B34">
        <f t="shared" si="20"/>
        <v>0</v>
      </c>
      <c r="C34">
        <f t="shared" si="20"/>
        <v>0.15687973484848483</v>
      </c>
      <c r="D34">
        <f t="shared" si="20"/>
        <v>0.707734375</v>
      </c>
      <c r="E34">
        <f t="shared" si="20"/>
        <v>1.4746330492424242</v>
      </c>
      <c r="F34">
        <f t="shared" si="20"/>
        <v>2.0340435606060603</v>
      </c>
      <c r="G34">
        <f t="shared" si="20"/>
        <v>2.1239938446969697</v>
      </c>
      <c r="H34">
        <f t="shared" si="20"/>
        <v>2.2141690340909093</v>
      </c>
      <c r="I34">
        <f t="shared" si="20"/>
        <v>2.307327178030303</v>
      </c>
      <c r="J34">
        <f t="shared" si="20"/>
        <v>2.3333333333333335</v>
      </c>
      <c r="K34">
        <f t="shared" si="20"/>
        <v>2.3333333333333335</v>
      </c>
      <c r="L34">
        <f t="shared" si="20"/>
        <v>2.3333333333333335</v>
      </c>
      <c r="M34">
        <f aca="true" t="shared" si="21" ref="M34:W34">-L18</f>
        <v>-2.3333333333333335</v>
      </c>
      <c r="N34">
        <f t="shared" si="21"/>
        <v>-2.3333333333333335</v>
      </c>
      <c r="O34">
        <f t="shared" si="21"/>
        <v>-2.261792696976474</v>
      </c>
      <c r="P34">
        <f t="shared" si="21"/>
        <v>-2.1451603242334794</v>
      </c>
      <c r="Q34">
        <f t="shared" si="21"/>
        <v>-2.0365833922448435</v>
      </c>
      <c r="R34">
        <f t="shared" si="21"/>
        <v>-1.9312712203857276</v>
      </c>
      <c r="S34">
        <f t="shared" si="21"/>
        <v>-1.826585977102208</v>
      </c>
      <c r="T34">
        <f t="shared" si="21"/>
        <v>-1.6269979420826794</v>
      </c>
      <c r="U34">
        <f t="shared" si="21"/>
        <v>-1.372772490257888</v>
      </c>
      <c r="V34">
        <f t="shared" si="21"/>
        <v>-1.1516299410788984</v>
      </c>
      <c r="W34">
        <f t="shared" si="21"/>
        <v>-0.5017865346025847</v>
      </c>
    </row>
    <row r="35" spans="1:23" ht="12.75">
      <c r="A35">
        <f aca="true" t="shared" si="22" ref="A35:L35">A19</f>
        <v>30</v>
      </c>
      <c r="B35">
        <f t="shared" si="22"/>
        <v>0.05635298295454545</v>
      </c>
      <c r="C35">
        <f t="shared" si="22"/>
        <v>0.4980255681818182</v>
      </c>
      <c r="D35">
        <f t="shared" si="22"/>
        <v>1.1319247159090908</v>
      </c>
      <c r="E35">
        <f t="shared" si="22"/>
        <v>1.9465317234848483</v>
      </c>
      <c r="F35">
        <f t="shared" si="22"/>
        <v>2.533889678030303</v>
      </c>
      <c r="G35">
        <f t="shared" si="22"/>
        <v>2.6243252840909093</v>
      </c>
      <c r="H35">
        <f t="shared" si="22"/>
        <v>2.7145123106060605</v>
      </c>
      <c r="I35">
        <f t="shared" si="22"/>
        <v>2.8080255681818183</v>
      </c>
      <c r="J35">
        <f t="shared" si="22"/>
        <v>2.8333333333333335</v>
      </c>
      <c r="K35">
        <f t="shared" si="22"/>
        <v>2.8333333333333335</v>
      </c>
      <c r="L35">
        <f t="shared" si="22"/>
        <v>2.8333333333333335</v>
      </c>
      <c r="M35">
        <f aca="true" t="shared" si="23" ref="M35:W35">-L19</f>
        <v>-2.8333333333333335</v>
      </c>
      <c r="N35">
        <f t="shared" si="23"/>
        <v>-2.8333333333333335</v>
      </c>
      <c r="O35">
        <f t="shared" si="23"/>
        <v>-2.7618687811633755</v>
      </c>
      <c r="P35">
        <f t="shared" si="23"/>
        <v>-2.6451536065330377</v>
      </c>
      <c r="Q35">
        <f t="shared" si="23"/>
        <v>-2.536564845703353</v>
      </c>
      <c r="R35">
        <f t="shared" si="23"/>
        <v>-2.431240845003188</v>
      </c>
      <c r="S35">
        <f t="shared" si="23"/>
        <v>-2.3256684386409945</v>
      </c>
      <c r="T35">
        <f t="shared" si="23"/>
        <v>-2.1107620544630303</v>
      </c>
      <c r="U35">
        <f t="shared" si="23"/>
        <v>-1.8301346294169036</v>
      </c>
      <c r="V35">
        <f t="shared" si="23"/>
        <v>-1.5833613474529726</v>
      </c>
      <c r="W35">
        <f t="shared" si="23"/>
        <v>-0.7090160009397577</v>
      </c>
    </row>
    <row r="36" spans="1:23" ht="12.75">
      <c r="A36">
        <f aca="true" t="shared" si="24" ref="A36:L36">A20</f>
        <v>35</v>
      </c>
      <c r="B36">
        <f t="shared" si="24"/>
        <v>0.27671046401515154</v>
      </c>
      <c r="C36">
        <f t="shared" si="24"/>
        <v>0.8787642045454546</v>
      </c>
      <c r="D36">
        <f t="shared" si="24"/>
        <v>1.5577296401515153</v>
      </c>
      <c r="E36">
        <f t="shared" si="24"/>
        <v>2.418927556818182</v>
      </c>
      <c r="F36">
        <f t="shared" si="24"/>
        <v>3.0337594696969696</v>
      </c>
      <c r="G36">
        <f t="shared" si="24"/>
        <v>3.1246567234848484</v>
      </c>
      <c r="H36">
        <f t="shared" si="24"/>
        <v>3.214855587121212</v>
      </c>
      <c r="I36">
        <f t="shared" si="24"/>
        <v>3.308723958333333</v>
      </c>
      <c r="J36">
        <f t="shared" si="24"/>
        <v>3.3333333333333335</v>
      </c>
      <c r="K36">
        <f t="shared" si="24"/>
        <v>3.3333333333333335</v>
      </c>
      <c r="L36">
        <f t="shared" si="24"/>
        <v>3.3333333333333335</v>
      </c>
      <c r="M36">
        <f aca="true" t="shared" si="25" ref="M36:W36">-L20</f>
        <v>-3.3333333333333335</v>
      </c>
      <c r="N36">
        <f t="shared" si="25"/>
        <v>-3.3333333333333335</v>
      </c>
      <c r="O36">
        <f t="shared" si="25"/>
        <v>-3.261956694191326</v>
      </c>
      <c r="P36">
        <f t="shared" si="25"/>
        <v>-3.1451350599915475</v>
      </c>
      <c r="Q36">
        <f t="shared" si="25"/>
        <v>-3.036546299161863</v>
      </c>
      <c r="R36">
        <f t="shared" si="25"/>
        <v>-2.9312222984616976</v>
      </c>
      <c r="S36">
        <f t="shared" si="25"/>
        <v>-2.824987477000761</v>
      </c>
      <c r="T36">
        <f t="shared" si="25"/>
        <v>-2.5981339633633214</v>
      </c>
      <c r="U36">
        <f t="shared" si="25"/>
        <v>-2.296971670256156</v>
      </c>
      <c r="V36">
        <f t="shared" si="25"/>
        <v>-2.0302549622836366</v>
      </c>
      <c r="W36">
        <f t="shared" si="25"/>
        <v>-0.9256624076360278</v>
      </c>
    </row>
    <row r="37" spans="1:23" ht="12.75">
      <c r="A37">
        <f aca="true" t="shared" si="26" ref="A37:L37">A21</f>
        <v>40</v>
      </c>
      <c r="B37">
        <f t="shared" si="26"/>
        <v>0.5003314393939394</v>
      </c>
      <c r="C37">
        <f t="shared" si="26"/>
        <v>1.2638967803030303</v>
      </c>
      <c r="D37">
        <f t="shared" si="26"/>
        <v>1.9861860795454547</v>
      </c>
      <c r="E37">
        <f t="shared" si="26"/>
        <v>2.8923295454545452</v>
      </c>
      <c r="F37">
        <f t="shared" si="26"/>
        <v>3.533700284090909</v>
      </c>
      <c r="G37">
        <f t="shared" si="26"/>
        <v>3.625</v>
      </c>
      <c r="H37">
        <f t="shared" si="26"/>
        <v>3.7151988636363633</v>
      </c>
      <c r="I37">
        <f t="shared" si="26"/>
        <v>3.8094341856060607</v>
      </c>
      <c r="J37">
        <f t="shared" si="26"/>
        <v>3.8333333333333335</v>
      </c>
      <c r="K37">
        <f t="shared" si="26"/>
        <v>3.8333333333333335</v>
      </c>
      <c r="L37">
        <f t="shared" si="26"/>
        <v>3.8333333333333335</v>
      </c>
      <c r="M37">
        <f aca="true" t="shared" si="27" ref="M37:W37">-L21</f>
        <v>-3.8333333333333335</v>
      </c>
      <c r="N37">
        <f t="shared" si="27"/>
        <v>-3.8333333333333335</v>
      </c>
      <c r="O37">
        <f t="shared" si="27"/>
        <v>-3.7620327783782272</v>
      </c>
      <c r="P37">
        <f t="shared" si="27"/>
        <v>-3.6451283422911063</v>
      </c>
      <c r="Q37">
        <f t="shared" si="27"/>
        <v>-3.536527752620372</v>
      </c>
      <c r="R37">
        <f t="shared" si="27"/>
        <v>-3.4311919230791585</v>
      </c>
      <c r="S37">
        <f t="shared" si="27"/>
        <v>-3.3245430921815067</v>
      </c>
      <c r="T37">
        <f t="shared" si="27"/>
        <v>-3.089113668783553</v>
      </c>
      <c r="U37">
        <f t="shared" si="27"/>
        <v>-2.7732836127756464</v>
      </c>
      <c r="V37">
        <f t="shared" si="27"/>
        <v>-2.492277664815952</v>
      </c>
      <c r="W37">
        <f t="shared" si="27"/>
        <v>-1.1517257546913953</v>
      </c>
    </row>
    <row r="39" spans="1:11" ht="12.75">
      <c r="A39" t="s">
        <v>4</v>
      </c>
      <c r="J39" t="s">
        <v>5</v>
      </c>
      <c r="K39">
        <v>20</v>
      </c>
    </row>
    <row r="40" spans="1:22" ht="12.75">
      <c r="A40" t="str">
        <f aca="true" t="shared" si="28" ref="A40:V40">A8</f>
        <v>wl/sta</v>
      </c>
      <c r="B40">
        <f t="shared" si="28"/>
        <v>0</v>
      </c>
      <c r="C40">
        <f t="shared" si="28"/>
        <v>1</v>
      </c>
      <c r="D40">
        <f t="shared" si="28"/>
        <v>2</v>
      </c>
      <c r="E40">
        <f t="shared" si="28"/>
        <v>3</v>
      </c>
      <c r="F40">
        <f t="shared" si="28"/>
        <v>4</v>
      </c>
      <c r="G40">
        <f t="shared" si="28"/>
        <v>5</v>
      </c>
      <c r="H40">
        <f t="shared" si="28"/>
        <v>6</v>
      </c>
      <c r="I40">
        <f t="shared" si="28"/>
        <v>7</v>
      </c>
      <c r="J40">
        <f t="shared" si="28"/>
        <v>8</v>
      </c>
      <c r="K40">
        <f t="shared" si="28"/>
        <v>9</v>
      </c>
      <c r="L40">
        <f t="shared" si="28"/>
        <v>10</v>
      </c>
      <c r="M40">
        <f t="shared" si="28"/>
        <v>11</v>
      </c>
      <c r="N40">
        <f t="shared" si="28"/>
        <v>12</v>
      </c>
      <c r="O40">
        <f t="shared" si="28"/>
        <v>13</v>
      </c>
      <c r="P40">
        <f t="shared" si="28"/>
        <v>14</v>
      </c>
      <c r="Q40">
        <f t="shared" si="28"/>
        <v>15</v>
      </c>
      <c r="R40">
        <f t="shared" si="28"/>
        <v>16</v>
      </c>
      <c r="S40">
        <f t="shared" si="28"/>
        <v>17</v>
      </c>
      <c r="T40">
        <f t="shared" si="28"/>
        <v>18</v>
      </c>
      <c r="U40">
        <f t="shared" si="28"/>
        <v>19</v>
      </c>
      <c r="V40">
        <f t="shared" si="28"/>
        <v>20</v>
      </c>
    </row>
    <row r="41" spans="1:22" ht="12.75">
      <c r="A41">
        <f aca="true" t="shared" si="29" ref="A41:A53">A9</f>
        <v>0</v>
      </c>
      <c r="B41">
        <f>B$40-B9</f>
        <v>0</v>
      </c>
      <c r="C41">
        <f aca="true" t="shared" si="30" ref="C41:V41">C$40-C9</f>
        <v>1</v>
      </c>
      <c r="D41">
        <f t="shared" si="30"/>
        <v>2</v>
      </c>
      <c r="E41">
        <f t="shared" si="30"/>
        <v>3</v>
      </c>
      <c r="F41">
        <f t="shared" si="30"/>
        <v>4</v>
      </c>
      <c r="G41">
        <f t="shared" si="30"/>
        <v>5</v>
      </c>
      <c r="H41">
        <f t="shared" si="30"/>
        <v>6</v>
      </c>
      <c r="I41">
        <f t="shared" si="30"/>
        <v>7</v>
      </c>
      <c r="J41">
        <f t="shared" si="30"/>
        <v>8</v>
      </c>
      <c r="K41">
        <f t="shared" si="30"/>
        <v>9</v>
      </c>
      <c r="L41">
        <f t="shared" si="30"/>
        <v>10</v>
      </c>
      <c r="M41">
        <f t="shared" si="30"/>
        <v>11</v>
      </c>
      <c r="N41">
        <f t="shared" si="30"/>
        <v>12</v>
      </c>
      <c r="O41">
        <f t="shared" si="30"/>
        <v>13</v>
      </c>
      <c r="P41">
        <f t="shared" si="30"/>
        <v>14</v>
      </c>
      <c r="Q41">
        <f t="shared" si="30"/>
        <v>15</v>
      </c>
      <c r="R41">
        <f t="shared" si="30"/>
        <v>16</v>
      </c>
      <c r="S41">
        <f t="shared" si="30"/>
        <v>17</v>
      </c>
      <c r="T41">
        <f t="shared" si="30"/>
        <v>18</v>
      </c>
      <c r="U41">
        <f t="shared" si="30"/>
        <v>19</v>
      </c>
      <c r="V41">
        <f t="shared" si="30"/>
        <v>20</v>
      </c>
    </row>
    <row r="42" spans="1:22" ht="12.75">
      <c r="A42">
        <f t="shared" si="29"/>
        <v>1</v>
      </c>
      <c r="B42">
        <f aca="true" t="shared" si="31" ref="B42:B53">B$40-B10</f>
        <v>0</v>
      </c>
      <c r="C42">
        <f aca="true" t="shared" si="32" ref="C42:V42">C$40-C10</f>
        <v>1</v>
      </c>
      <c r="D42">
        <f t="shared" si="32"/>
        <v>2</v>
      </c>
      <c r="E42">
        <f t="shared" si="32"/>
        <v>3</v>
      </c>
      <c r="F42">
        <f t="shared" si="32"/>
        <v>4</v>
      </c>
      <c r="G42">
        <f t="shared" si="32"/>
        <v>5</v>
      </c>
      <c r="H42">
        <f t="shared" si="32"/>
        <v>5.986480823863636</v>
      </c>
      <c r="I42">
        <f t="shared" si="32"/>
        <v>6.945610795454545</v>
      </c>
      <c r="J42">
        <f t="shared" si="32"/>
        <v>7.931666666666667</v>
      </c>
      <c r="K42">
        <f t="shared" si="32"/>
        <v>8.931666666666667</v>
      </c>
      <c r="L42">
        <f t="shared" si="32"/>
        <v>9.931666666666667</v>
      </c>
      <c r="M42">
        <f t="shared" si="32"/>
        <v>10.931666666666667</v>
      </c>
      <c r="N42">
        <f t="shared" si="32"/>
        <v>11.974273453602562</v>
      </c>
      <c r="O42">
        <f t="shared" si="32"/>
        <v>13</v>
      </c>
      <c r="P42">
        <f t="shared" si="32"/>
        <v>14</v>
      </c>
      <c r="Q42">
        <f t="shared" si="32"/>
        <v>15</v>
      </c>
      <c r="R42">
        <f t="shared" si="32"/>
        <v>16</v>
      </c>
      <c r="S42">
        <f t="shared" si="32"/>
        <v>17</v>
      </c>
      <c r="T42">
        <f t="shared" si="32"/>
        <v>18</v>
      </c>
      <c r="U42">
        <f t="shared" si="32"/>
        <v>19</v>
      </c>
      <c r="V42">
        <f t="shared" si="32"/>
        <v>20</v>
      </c>
    </row>
    <row r="43" spans="1:22" ht="12.75">
      <c r="A43">
        <f t="shared" si="29"/>
        <v>2.5</v>
      </c>
      <c r="B43">
        <f t="shared" si="31"/>
        <v>0</v>
      </c>
      <c r="C43">
        <f aca="true" t="shared" si="33" ref="C43:V43">C$40-C11</f>
        <v>1</v>
      </c>
      <c r="D43">
        <f t="shared" si="33"/>
        <v>2</v>
      </c>
      <c r="E43">
        <f t="shared" si="33"/>
        <v>2.998307410037879</v>
      </c>
      <c r="F43">
        <f t="shared" si="33"/>
        <v>3.971335227272727</v>
      </c>
      <c r="G43">
        <f t="shared" si="33"/>
        <v>4.936586174242424</v>
      </c>
      <c r="H43">
        <f t="shared" si="33"/>
        <v>5.88977509469697</v>
      </c>
      <c r="I43">
        <f t="shared" si="33"/>
        <v>6.8383984375</v>
      </c>
      <c r="J43">
        <f t="shared" si="33"/>
        <v>7.822916666666667</v>
      </c>
      <c r="K43">
        <f t="shared" si="33"/>
        <v>8.822916666666666</v>
      </c>
      <c r="L43">
        <f t="shared" si="33"/>
        <v>9.822916666666666</v>
      </c>
      <c r="M43">
        <f t="shared" si="33"/>
        <v>10.822916666666666</v>
      </c>
      <c r="N43">
        <f t="shared" si="33"/>
        <v>11.86862652554176</v>
      </c>
      <c r="O43">
        <f t="shared" si="33"/>
        <v>12.94218772225719</v>
      </c>
      <c r="P43">
        <f t="shared" si="33"/>
        <v>13.994459015987424</v>
      </c>
      <c r="Q43">
        <f t="shared" si="33"/>
        <v>15</v>
      </c>
      <c r="R43">
        <f t="shared" si="33"/>
        <v>16</v>
      </c>
      <c r="S43">
        <f t="shared" si="33"/>
        <v>17</v>
      </c>
      <c r="T43">
        <f t="shared" si="33"/>
        <v>18</v>
      </c>
      <c r="U43">
        <f t="shared" si="33"/>
        <v>19</v>
      </c>
      <c r="V43">
        <f t="shared" si="33"/>
        <v>20</v>
      </c>
    </row>
    <row r="44" spans="1:22" ht="12.75">
      <c r="A44">
        <f t="shared" si="29"/>
        <v>5</v>
      </c>
      <c r="B44">
        <f t="shared" si="31"/>
        <v>0</v>
      </c>
      <c r="C44">
        <f aca="true" t="shared" si="34" ref="C44:V44">C$40-C12</f>
        <v>1</v>
      </c>
      <c r="D44">
        <f t="shared" si="34"/>
        <v>2</v>
      </c>
      <c r="E44">
        <f t="shared" si="34"/>
        <v>2.984798768939394</v>
      </c>
      <c r="F44">
        <f t="shared" si="34"/>
        <v>3.8130859375</v>
      </c>
      <c r="G44">
        <f t="shared" si="34"/>
        <v>4.76002959280303</v>
      </c>
      <c r="H44">
        <f t="shared" si="34"/>
        <v>5.7034765625</v>
      </c>
      <c r="I44">
        <f t="shared" si="34"/>
        <v>6.643068181818181</v>
      </c>
      <c r="J44">
        <f t="shared" si="34"/>
        <v>7.625</v>
      </c>
      <c r="K44">
        <f t="shared" si="34"/>
        <v>8.625</v>
      </c>
      <c r="L44">
        <f t="shared" si="34"/>
        <v>9.625</v>
      </c>
      <c r="M44">
        <f t="shared" si="34"/>
        <v>10.625</v>
      </c>
      <c r="N44">
        <f t="shared" si="34"/>
        <v>11.675892121026013</v>
      </c>
      <c r="O44">
        <f t="shared" si="34"/>
        <v>12.758045787879427</v>
      </c>
      <c r="P44">
        <f t="shared" si="34"/>
        <v>13.833552828947413</v>
      </c>
      <c r="Q44">
        <f t="shared" si="34"/>
        <v>14.905803390074615</v>
      </c>
      <c r="R44">
        <f t="shared" si="34"/>
        <v>15.974799837029241</v>
      </c>
      <c r="S44">
        <f t="shared" si="34"/>
        <v>17</v>
      </c>
      <c r="T44">
        <f t="shared" si="34"/>
        <v>18</v>
      </c>
      <c r="U44">
        <f t="shared" si="34"/>
        <v>19</v>
      </c>
      <c r="V44">
        <f t="shared" si="34"/>
        <v>20</v>
      </c>
    </row>
    <row r="45" spans="1:22" ht="12.75">
      <c r="A45">
        <f t="shared" si="29"/>
        <v>7.5</v>
      </c>
      <c r="B45">
        <f t="shared" si="31"/>
        <v>0</v>
      </c>
      <c r="C45">
        <f aca="true" t="shared" si="35" ref="C45:V45">C$40-C13</f>
        <v>1</v>
      </c>
      <c r="D45">
        <f t="shared" si="35"/>
        <v>2</v>
      </c>
      <c r="E45">
        <f t="shared" si="35"/>
        <v>2.923555871212121</v>
      </c>
      <c r="F45">
        <f t="shared" si="35"/>
        <v>3.624525331439394</v>
      </c>
      <c r="G45">
        <f t="shared" si="35"/>
        <v>4.5619803503787875</v>
      </c>
      <c r="H45">
        <f t="shared" si="35"/>
        <v>5.496330492424242</v>
      </c>
      <c r="I45">
        <f t="shared" si="35"/>
        <v>6.4269341856060604</v>
      </c>
      <c r="J45">
        <f t="shared" si="35"/>
        <v>7.40625</v>
      </c>
      <c r="K45">
        <f t="shared" si="35"/>
        <v>8.40625</v>
      </c>
      <c r="L45">
        <f t="shared" si="35"/>
        <v>9.40625</v>
      </c>
      <c r="M45">
        <f t="shared" si="35"/>
        <v>10.40625</v>
      </c>
      <c r="N45">
        <f t="shared" si="35"/>
        <v>11.462334224727634</v>
      </c>
      <c r="O45">
        <f t="shared" si="35"/>
        <v>12.553069715762085</v>
      </c>
      <c r="P45">
        <f t="shared" si="35"/>
        <v>13.636841568070999</v>
      </c>
      <c r="Q45">
        <f t="shared" si="35"/>
        <v>14.717356940439126</v>
      </c>
      <c r="R45">
        <f t="shared" si="35"/>
        <v>15.794637124780357</v>
      </c>
      <c r="S45">
        <f t="shared" si="35"/>
        <v>16.90986896274315</v>
      </c>
      <c r="T45">
        <f t="shared" si="35"/>
        <v>18</v>
      </c>
      <c r="U45">
        <f t="shared" si="35"/>
        <v>19</v>
      </c>
      <c r="V45">
        <f t="shared" si="35"/>
        <v>20</v>
      </c>
    </row>
    <row r="46" spans="1:22" ht="12.75">
      <c r="A46">
        <f t="shared" si="29"/>
        <v>10</v>
      </c>
      <c r="B46">
        <f t="shared" si="31"/>
        <v>0</v>
      </c>
      <c r="C46">
        <f aca="true" t="shared" si="36" ref="C46:V46">C$40-C14</f>
        <v>1</v>
      </c>
      <c r="D46">
        <f t="shared" si="36"/>
        <v>2</v>
      </c>
      <c r="E46">
        <f t="shared" si="36"/>
        <v>2.809848484848485</v>
      </c>
      <c r="F46">
        <f t="shared" si="36"/>
        <v>3.415056818181818</v>
      </c>
      <c r="G46">
        <f t="shared" si="36"/>
        <v>4.343083570075757</v>
      </c>
      <c r="H46">
        <f t="shared" si="36"/>
        <v>5.268336884469697</v>
      </c>
      <c r="I46">
        <f t="shared" si="36"/>
        <v>6.189997632575758</v>
      </c>
      <c r="J46">
        <f t="shared" si="36"/>
        <v>7.166666666666667</v>
      </c>
      <c r="K46">
        <f t="shared" si="36"/>
        <v>8.166666666666666</v>
      </c>
      <c r="L46">
        <f t="shared" si="36"/>
        <v>9.166666666666666</v>
      </c>
      <c r="M46">
        <f t="shared" si="36"/>
        <v>10.166666666666666</v>
      </c>
      <c r="N46">
        <f t="shared" si="36"/>
        <v>11.227954019530724</v>
      </c>
      <c r="O46">
        <f t="shared" si="36"/>
        <v>12.32726068878927</v>
      </c>
      <c r="P46">
        <f t="shared" si="36"/>
        <v>13.419296169455006</v>
      </c>
      <c r="Q46">
        <f t="shared" si="36"/>
        <v>14.508076353064059</v>
      </c>
      <c r="R46">
        <f t="shared" si="36"/>
        <v>15.593681675735565</v>
      </c>
      <c r="S46">
        <f t="shared" si="36"/>
        <v>16.72512139170368</v>
      </c>
      <c r="T46">
        <f t="shared" si="36"/>
        <v>17.874941943777813</v>
      </c>
      <c r="U46">
        <f t="shared" si="36"/>
        <v>18.984730149089867</v>
      </c>
      <c r="V46">
        <f t="shared" si="36"/>
        <v>20</v>
      </c>
    </row>
    <row r="47" spans="1:22" ht="12.75">
      <c r="A47">
        <f t="shared" si="29"/>
        <v>15</v>
      </c>
      <c r="B47">
        <f t="shared" si="31"/>
        <v>0</v>
      </c>
      <c r="C47">
        <f aca="true" t="shared" si="37" ref="C47:V47">C$40-C15</f>
        <v>1</v>
      </c>
      <c r="D47">
        <f t="shared" si="37"/>
        <v>1.9444116950757575</v>
      </c>
      <c r="E47">
        <f t="shared" si="37"/>
        <v>2.433186553030303</v>
      </c>
      <c r="F47">
        <f t="shared" si="37"/>
        <v>2.953265861742424</v>
      </c>
      <c r="G47">
        <f t="shared" si="37"/>
        <v>3.8683285984848483</v>
      </c>
      <c r="H47">
        <f t="shared" si="37"/>
        <v>4.78192471590909</v>
      </c>
      <c r="I47">
        <f t="shared" si="37"/>
        <v>5.692885890151516</v>
      </c>
      <c r="J47">
        <f t="shared" si="37"/>
        <v>6.666666666666667</v>
      </c>
      <c r="K47">
        <f t="shared" si="37"/>
        <v>7.666666666666667</v>
      </c>
      <c r="L47">
        <f t="shared" si="37"/>
        <v>8.666666666666666</v>
      </c>
      <c r="M47">
        <f t="shared" si="37"/>
        <v>9.666666666666666</v>
      </c>
      <c r="N47">
        <f t="shared" si="37"/>
        <v>10.735745297525503</v>
      </c>
      <c r="O47">
        <f t="shared" si="37"/>
        <v>11.84792529449766</v>
      </c>
      <c r="P47">
        <f t="shared" si="37"/>
        <v>12.952359766350941</v>
      </c>
      <c r="Q47">
        <f t="shared" si="37"/>
        <v>14.053537758263436</v>
      </c>
      <c r="R47">
        <f t="shared" si="37"/>
        <v>15.151972641936672</v>
      </c>
      <c r="S47">
        <f t="shared" si="37"/>
        <v>16.310740529380258</v>
      </c>
      <c r="T47">
        <f t="shared" si="37"/>
        <v>17.49746588264312</v>
      </c>
      <c r="U47">
        <f t="shared" si="37"/>
        <v>18.65409274985684</v>
      </c>
      <c r="V47">
        <f t="shared" si="37"/>
        <v>19.880431708908645</v>
      </c>
    </row>
    <row r="48" spans="1:22" ht="12.75">
      <c r="A48">
        <f t="shared" si="29"/>
        <v>18</v>
      </c>
      <c r="B48">
        <f t="shared" si="31"/>
        <v>0</v>
      </c>
      <c r="C48">
        <f aca="true" t="shared" si="38" ref="C48:V48">C$40-C16</f>
        <v>1</v>
      </c>
      <c r="D48">
        <f t="shared" si="38"/>
        <v>1.8115305397727273</v>
      </c>
      <c r="E48">
        <f t="shared" si="38"/>
        <v>2.174528882575758</v>
      </c>
      <c r="F48">
        <f t="shared" si="38"/>
        <v>2.663754734848485</v>
      </c>
      <c r="G48">
        <f t="shared" si="38"/>
        <v>3.5751420454545455</v>
      </c>
      <c r="H48">
        <f t="shared" si="38"/>
        <v>4.485570549242424</v>
      </c>
      <c r="I48">
        <f t="shared" si="38"/>
        <v>5.393465909090909</v>
      </c>
      <c r="J48">
        <f t="shared" si="38"/>
        <v>6.366666666666667</v>
      </c>
      <c r="K48">
        <f t="shared" si="38"/>
        <v>7.366666666666667</v>
      </c>
      <c r="L48">
        <f t="shared" si="38"/>
        <v>8.366666666666667</v>
      </c>
      <c r="M48">
        <f t="shared" si="38"/>
        <v>9.366666666666667</v>
      </c>
      <c r="N48">
        <f t="shared" si="38"/>
        <v>10.437906908753103</v>
      </c>
      <c r="O48">
        <f t="shared" si="38"/>
        <v>11.553711262622668</v>
      </c>
      <c r="P48">
        <f t="shared" si="38"/>
        <v>12.661625779512562</v>
      </c>
      <c r="Q48">
        <f t="shared" si="38"/>
        <v>13.766275536272934</v>
      </c>
      <c r="R48">
        <f t="shared" si="38"/>
        <v>14.868701470916097</v>
      </c>
      <c r="S48">
        <f t="shared" si="38"/>
        <v>16.041173070714933</v>
      </c>
      <c r="T48">
        <f t="shared" si="38"/>
        <v>17.24906495215085</v>
      </c>
      <c r="U48">
        <f t="shared" si="38"/>
        <v>18.425274465721163</v>
      </c>
      <c r="V48">
        <f t="shared" si="38"/>
        <v>19.77160282260567</v>
      </c>
    </row>
    <row r="49" spans="1:22" ht="12.75">
      <c r="A49">
        <f t="shared" si="29"/>
        <v>20</v>
      </c>
      <c r="B49">
        <f t="shared" si="31"/>
        <v>0</v>
      </c>
      <c r="C49">
        <f aca="true" t="shared" si="39" ref="C49:V49">C$40-C17</f>
        <v>0.9944405776515152</v>
      </c>
      <c r="D49">
        <f t="shared" si="39"/>
        <v>1.6842732007575758</v>
      </c>
      <c r="E49">
        <f t="shared" si="39"/>
        <v>1.9943063446969698</v>
      </c>
      <c r="F49">
        <f t="shared" si="39"/>
        <v>2.4657907196969697</v>
      </c>
      <c r="G49">
        <f t="shared" si="39"/>
        <v>3.376349431818182</v>
      </c>
      <c r="H49">
        <f t="shared" si="39"/>
        <v>4.28616240530303</v>
      </c>
      <c r="I49">
        <f t="shared" si="39"/>
        <v>5.193371212121212</v>
      </c>
      <c r="J49">
        <f t="shared" si="39"/>
        <v>6.166666666666667</v>
      </c>
      <c r="K49">
        <f t="shared" si="39"/>
        <v>7.166666666666667</v>
      </c>
      <c r="L49">
        <f t="shared" si="39"/>
        <v>8.166666666666666</v>
      </c>
      <c r="M49">
        <f t="shared" si="39"/>
        <v>9.166666666666666</v>
      </c>
      <c r="N49">
        <f t="shared" si="39"/>
        <v>10.238295216051476</v>
      </c>
      <c r="O49">
        <f t="shared" si="39"/>
        <v>11.35482112922503</v>
      </c>
      <c r="P49">
        <f t="shared" si="39"/>
        <v>12.463398061213667</v>
      </c>
      <c r="Q49">
        <f t="shared" si="39"/>
        <v>13.568710233072782</v>
      </c>
      <c r="R49">
        <f t="shared" si="39"/>
        <v>14.67224807877455</v>
      </c>
      <c r="S49">
        <f t="shared" si="39"/>
        <v>15.853154825125415</v>
      </c>
      <c r="T49">
        <f t="shared" si="39"/>
        <v>17.075131307598358</v>
      </c>
      <c r="U49">
        <f t="shared" si="39"/>
        <v>18.264958182984266</v>
      </c>
      <c r="V49">
        <f t="shared" si="39"/>
        <v>19.696025991375492</v>
      </c>
    </row>
    <row r="50" spans="1:22" ht="12.75">
      <c r="A50">
        <f t="shared" si="29"/>
        <v>25</v>
      </c>
      <c r="B50">
        <f t="shared" si="31"/>
        <v>0</v>
      </c>
      <c r="C50">
        <f aca="true" t="shared" si="40" ref="C50:V50">C$40-C18</f>
        <v>0.8431202651515152</v>
      </c>
      <c r="D50">
        <f t="shared" si="40"/>
        <v>1.292265625</v>
      </c>
      <c r="E50">
        <f t="shared" si="40"/>
        <v>1.5253669507575758</v>
      </c>
      <c r="F50">
        <f t="shared" si="40"/>
        <v>1.9659564393939397</v>
      </c>
      <c r="G50">
        <f t="shared" si="40"/>
        <v>2.8760061553030303</v>
      </c>
      <c r="H50">
        <f t="shared" si="40"/>
        <v>3.7858309659090907</v>
      </c>
      <c r="I50">
        <f t="shared" si="40"/>
        <v>4.692672821969698</v>
      </c>
      <c r="J50">
        <f t="shared" si="40"/>
        <v>5.666666666666666</v>
      </c>
      <c r="K50">
        <f t="shared" si="40"/>
        <v>6.666666666666666</v>
      </c>
      <c r="L50">
        <f t="shared" si="40"/>
        <v>7.666666666666666</v>
      </c>
      <c r="M50">
        <f t="shared" si="40"/>
        <v>8.666666666666666</v>
      </c>
      <c r="N50">
        <f t="shared" si="40"/>
        <v>9.738207303023525</v>
      </c>
      <c r="O50">
        <f t="shared" si="40"/>
        <v>10.85483967576652</v>
      </c>
      <c r="P50">
        <f t="shared" si="40"/>
        <v>11.963416607755157</v>
      </c>
      <c r="Q50">
        <f t="shared" si="40"/>
        <v>13.068728779614272</v>
      </c>
      <c r="R50">
        <f t="shared" si="40"/>
        <v>14.173414022897791</v>
      </c>
      <c r="S50">
        <f t="shared" si="40"/>
        <v>15.37300205791732</v>
      </c>
      <c r="T50">
        <f t="shared" si="40"/>
        <v>16.627227509742113</v>
      </c>
      <c r="U50">
        <f t="shared" si="40"/>
        <v>17.848370058921102</v>
      </c>
      <c r="V50">
        <f t="shared" si="40"/>
        <v>19.498213465397416</v>
      </c>
    </row>
    <row r="51" spans="1:22" ht="12.75">
      <c r="A51">
        <f t="shared" si="29"/>
        <v>30</v>
      </c>
      <c r="B51">
        <f t="shared" si="31"/>
        <v>-0.05635298295454545</v>
      </c>
      <c r="C51">
        <f aca="true" t="shared" si="41" ref="C51:V51">C$40-C19</f>
        <v>0.5019744318181818</v>
      </c>
      <c r="D51">
        <f t="shared" si="41"/>
        <v>0.8680752840909092</v>
      </c>
      <c r="E51">
        <f t="shared" si="41"/>
        <v>1.0534682765151517</v>
      </c>
      <c r="F51">
        <f t="shared" si="41"/>
        <v>1.4661103219696972</v>
      </c>
      <c r="G51">
        <f t="shared" si="41"/>
        <v>2.3756747159090907</v>
      </c>
      <c r="H51">
        <f t="shared" si="41"/>
        <v>3.2854876893939395</v>
      </c>
      <c r="I51">
        <f t="shared" si="41"/>
        <v>4.191974431818181</v>
      </c>
      <c r="J51">
        <f t="shared" si="41"/>
        <v>5.166666666666666</v>
      </c>
      <c r="K51">
        <f t="shared" si="41"/>
        <v>6.166666666666666</v>
      </c>
      <c r="L51">
        <f t="shared" si="41"/>
        <v>7.166666666666666</v>
      </c>
      <c r="M51">
        <f t="shared" si="41"/>
        <v>8.166666666666666</v>
      </c>
      <c r="N51">
        <f t="shared" si="41"/>
        <v>9.238131218836624</v>
      </c>
      <c r="O51">
        <f t="shared" si="41"/>
        <v>10.354846393466962</v>
      </c>
      <c r="P51">
        <f t="shared" si="41"/>
        <v>11.463435154296647</v>
      </c>
      <c r="Q51">
        <f t="shared" si="41"/>
        <v>12.568759154996812</v>
      </c>
      <c r="R51">
        <f t="shared" si="41"/>
        <v>13.674331561359006</v>
      </c>
      <c r="S51">
        <f t="shared" si="41"/>
        <v>14.88923794553697</v>
      </c>
      <c r="T51">
        <f t="shared" si="41"/>
        <v>16.169865370583096</v>
      </c>
      <c r="U51">
        <f t="shared" si="41"/>
        <v>17.41663865254703</v>
      </c>
      <c r="V51">
        <f t="shared" si="41"/>
        <v>19.29098399906024</v>
      </c>
    </row>
    <row r="52" spans="1:22" ht="12.75">
      <c r="A52">
        <f t="shared" si="29"/>
        <v>35</v>
      </c>
      <c r="B52">
        <f t="shared" si="31"/>
        <v>-0.27671046401515154</v>
      </c>
      <c r="C52">
        <f aca="true" t="shared" si="42" ref="C52:V52">C$40-C20</f>
        <v>0.12123579545454544</v>
      </c>
      <c r="D52">
        <f t="shared" si="42"/>
        <v>0.44227035984848473</v>
      </c>
      <c r="E52">
        <f t="shared" si="42"/>
        <v>0.5810724431818182</v>
      </c>
      <c r="F52">
        <f t="shared" si="42"/>
        <v>0.9662405303030304</v>
      </c>
      <c r="G52">
        <f t="shared" si="42"/>
        <v>1.8753432765151516</v>
      </c>
      <c r="H52">
        <f t="shared" si="42"/>
        <v>2.785144412878788</v>
      </c>
      <c r="I52">
        <f t="shared" si="42"/>
        <v>3.691276041666667</v>
      </c>
      <c r="J52">
        <f t="shared" si="42"/>
        <v>4.666666666666666</v>
      </c>
      <c r="K52">
        <f t="shared" si="42"/>
        <v>5.666666666666666</v>
      </c>
      <c r="L52">
        <f t="shared" si="42"/>
        <v>6.666666666666666</v>
      </c>
      <c r="M52">
        <f t="shared" si="42"/>
        <v>7.666666666666666</v>
      </c>
      <c r="N52">
        <f t="shared" si="42"/>
        <v>8.738043305808674</v>
      </c>
      <c r="O52">
        <f t="shared" si="42"/>
        <v>9.854864940008452</v>
      </c>
      <c r="P52">
        <f t="shared" si="42"/>
        <v>10.963453700838137</v>
      </c>
      <c r="Q52">
        <f t="shared" si="42"/>
        <v>12.068777701538302</v>
      </c>
      <c r="R52">
        <f t="shared" si="42"/>
        <v>13.17501252299924</v>
      </c>
      <c r="S52">
        <f t="shared" si="42"/>
        <v>14.40186603663668</v>
      </c>
      <c r="T52">
        <f t="shared" si="42"/>
        <v>15.703028329743844</v>
      </c>
      <c r="U52">
        <f t="shared" si="42"/>
        <v>16.969745037716365</v>
      </c>
      <c r="V52">
        <f t="shared" si="42"/>
        <v>19.07433759236397</v>
      </c>
    </row>
    <row r="53" spans="1:22" ht="12.75">
      <c r="A53">
        <f t="shared" si="29"/>
        <v>40</v>
      </c>
      <c r="B53">
        <f t="shared" si="31"/>
        <v>-0.5003314393939394</v>
      </c>
      <c r="C53">
        <f aca="true" t="shared" si="43" ref="C53:V53">C$40-C21</f>
        <v>-0.2638967803030303</v>
      </c>
      <c r="D53">
        <f t="shared" si="43"/>
        <v>0.013813920454545325</v>
      </c>
      <c r="E53">
        <f t="shared" si="43"/>
        <v>0.10767045454545476</v>
      </c>
      <c r="F53">
        <f t="shared" si="43"/>
        <v>0.4662997159090909</v>
      </c>
      <c r="G53">
        <f t="shared" si="43"/>
        <v>1.375</v>
      </c>
      <c r="H53">
        <f t="shared" si="43"/>
        <v>2.2848011363636367</v>
      </c>
      <c r="I53">
        <f t="shared" si="43"/>
        <v>3.1905658143939393</v>
      </c>
      <c r="J53">
        <f t="shared" si="43"/>
        <v>4.166666666666666</v>
      </c>
      <c r="K53">
        <f t="shared" si="43"/>
        <v>5.166666666666666</v>
      </c>
      <c r="L53">
        <f t="shared" si="43"/>
        <v>6.166666666666666</v>
      </c>
      <c r="M53">
        <f t="shared" si="43"/>
        <v>7.166666666666666</v>
      </c>
      <c r="N53">
        <f t="shared" si="43"/>
        <v>8.237967221621773</v>
      </c>
      <c r="O53">
        <f t="shared" si="43"/>
        <v>9.354871657708895</v>
      </c>
      <c r="P53">
        <f t="shared" si="43"/>
        <v>10.463472247379627</v>
      </c>
      <c r="Q53">
        <f t="shared" si="43"/>
        <v>11.568808076920842</v>
      </c>
      <c r="R53">
        <f t="shared" si="43"/>
        <v>12.675456907818493</v>
      </c>
      <c r="S53">
        <f t="shared" si="43"/>
        <v>13.910886331216446</v>
      </c>
      <c r="T53">
        <f t="shared" si="43"/>
        <v>15.226716387224354</v>
      </c>
      <c r="U53">
        <f t="shared" si="43"/>
        <v>16.50772233518405</v>
      </c>
      <c r="V53">
        <f t="shared" si="43"/>
        <v>18.848274245308605</v>
      </c>
    </row>
    <row r="56" ht="12.75">
      <c r="B56" t="s">
        <v>136</v>
      </c>
    </row>
  </sheetData>
  <printOptions/>
  <pageMargins left="0.75" right="0.75" top="1" bottom="1" header="0.5" footer="0.5"/>
  <pageSetup horizontalDpi="300" verticalDpi="300" orientation="landscape" scale="55" r:id="rId1"/>
  <headerFooter alignWithMargins="0">
    <oddFooter>&amp;C&amp;F,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K31:M94"/>
  <sheetViews>
    <sheetView workbookViewId="0" topLeftCell="A85">
      <selection activeCell="M108" sqref="M108"/>
    </sheetView>
  </sheetViews>
  <sheetFormatPr defaultColWidth="9.140625" defaultRowHeight="12.75"/>
  <sheetData>
    <row r="31" spans="11:12" ht="12.75">
      <c r="K31">
        <v>0</v>
      </c>
      <c r="L31">
        <v>10</v>
      </c>
    </row>
    <row r="32" spans="11:12" ht="12.75">
      <c r="K32">
        <v>40</v>
      </c>
      <c r="L32">
        <v>10</v>
      </c>
    </row>
    <row r="93" spans="12:13" ht="12.75">
      <c r="L93">
        <v>20.860052698626564</v>
      </c>
      <c r="M93">
        <v>14.58644336358982</v>
      </c>
    </row>
    <row r="94" spans="12:13" ht="12.75">
      <c r="L94">
        <v>20.860052698626564</v>
      </c>
      <c r="M94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7">
      <selection activeCell="G8" sqref="G8"/>
    </sheetView>
  </sheetViews>
  <sheetFormatPr defaultColWidth="9.140625" defaultRowHeight="12.75"/>
  <sheetData>
    <row r="1" spans="1:6" ht="12.75">
      <c r="A1" s="1" t="s">
        <v>209</v>
      </c>
      <c r="B1" s="1"/>
      <c r="D1" s="1"/>
      <c r="E1" s="1"/>
      <c r="F1" s="1"/>
    </row>
    <row r="2" spans="1:6" ht="12.75">
      <c r="A2" s="1" t="s">
        <v>203</v>
      </c>
      <c r="B2" s="1"/>
      <c r="D2" s="1"/>
      <c r="E2" s="1"/>
      <c r="F2" s="1"/>
    </row>
    <row r="3" ht="12.75">
      <c r="A3" s="1" t="s">
        <v>204</v>
      </c>
    </row>
    <row r="5" spans="2:3" ht="12.75">
      <c r="B5" t="s">
        <v>207</v>
      </c>
      <c r="C5">
        <f>LBP/360</f>
        <v>1.2222222222222223</v>
      </c>
    </row>
    <row r="6" spans="2:4" ht="12.75">
      <c r="B6" t="s">
        <v>208</v>
      </c>
      <c r="C6">
        <f>htwave</f>
        <v>23.073794659743335</v>
      </c>
      <c r="D6">
        <f>htwave</f>
        <v>23.073794659743335</v>
      </c>
    </row>
    <row r="7" spans="2:7" ht="12.75">
      <c r="B7" t="s">
        <v>205</v>
      </c>
      <c r="C7" t="s">
        <v>193</v>
      </c>
      <c r="D7" t="s">
        <v>206</v>
      </c>
      <c r="E7" t="s">
        <v>210</v>
      </c>
      <c r="F7" t="s">
        <v>211</v>
      </c>
      <c r="G7" t="s">
        <v>213</v>
      </c>
    </row>
    <row r="8" spans="2:7" ht="12.75">
      <c r="B8">
        <v>0</v>
      </c>
      <c r="C8" s="24">
        <f>C$5*B8-C$6*SIN(RADIANS(B8))</f>
        <v>0</v>
      </c>
      <c r="D8">
        <f>C$5-C$6*COS(RADIANS(B8))</f>
        <v>-21.851572437521114</v>
      </c>
      <c r="E8">
        <f>-C$6*COS(RADIANS(B8))</f>
        <v>-23.073794659743335</v>
      </c>
      <c r="F8">
        <f>B8*LBP/360</f>
        <v>0</v>
      </c>
      <c r="G8" s="1">
        <f>LBP*B8/(360)+htwave*SIN(RADIANS(B8))</f>
        <v>0</v>
      </c>
    </row>
    <row r="9" spans="2:7" ht="12.75">
      <c r="B9">
        <v>20</v>
      </c>
      <c r="C9" s="24">
        <f aca="true" t="shared" si="0" ref="C9:C44">C$5*B9-C$6*SIN(RADIANS(B9))</f>
        <v>16.55274188785198</v>
      </c>
      <c r="D9">
        <f>C$5-C$6*COS(RADIANS(B9))</f>
        <v>-20.46005235306789</v>
      </c>
      <c r="E9">
        <f aca="true" t="shared" si="1" ref="E9:E44">-C$6*COS(RADIANS(B9))</f>
        <v>-21.682274575290112</v>
      </c>
      <c r="F9">
        <f aca="true" t="shared" si="2" ref="F9:F44">B9*LBP/360</f>
        <v>24.444444444444443</v>
      </c>
      <c r="G9" s="1">
        <f aca="true" t="shared" si="3" ref="G9:G44">LBP*B9/(360)+htwave*SIN(RADIANS(B9))</f>
        <v>32.336147001036906</v>
      </c>
    </row>
    <row r="10" spans="2:7" ht="12.75">
      <c r="B10">
        <v>40</v>
      </c>
      <c r="C10" s="24">
        <f t="shared" si="0"/>
        <v>34.05733957315444</v>
      </c>
      <c r="D10">
        <f aca="true" t="shared" si="4" ref="D10:D44">C$5-C$6*COS(RADIANS(B10))</f>
        <v>-16.45332995854251</v>
      </c>
      <c r="E10">
        <f t="shared" si="1"/>
        <v>-17.675552180764733</v>
      </c>
      <c r="F10">
        <f t="shared" si="2"/>
        <v>48.888888888888886</v>
      </c>
      <c r="G10" s="1">
        <f t="shared" si="3"/>
        <v>63.720438204623335</v>
      </c>
    </row>
    <row r="11" spans="2:7" ht="12.75">
      <c r="B11">
        <v>60</v>
      </c>
      <c r="C11" s="24">
        <f t="shared" si="0"/>
        <v>53.3508409962899</v>
      </c>
      <c r="D11">
        <f t="shared" si="4"/>
        <v>-10.314675107649446</v>
      </c>
      <c r="E11">
        <f t="shared" si="1"/>
        <v>-11.53689732987167</v>
      </c>
      <c r="F11">
        <f t="shared" si="2"/>
        <v>73.33333333333333</v>
      </c>
      <c r="G11" s="1">
        <f t="shared" si="3"/>
        <v>93.31582567037677</v>
      </c>
    </row>
    <row r="12" spans="2:7" ht="12.75">
      <c r="B12">
        <v>80</v>
      </c>
      <c r="C12" s="24">
        <f t="shared" si="0"/>
        <v>75.05452590545087</v>
      </c>
      <c r="D12">
        <f t="shared" si="4"/>
        <v>-2.784500172303159</v>
      </c>
      <c r="E12">
        <f t="shared" si="1"/>
        <v>-4.006722394525381</v>
      </c>
      <c r="F12">
        <f t="shared" si="2"/>
        <v>97.77777777777777</v>
      </c>
      <c r="G12" s="1">
        <f t="shared" si="3"/>
        <v>120.5010296501047</v>
      </c>
    </row>
    <row r="13" spans="2:7" ht="12.75">
      <c r="B13">
        <v>100</v>
      </c>
      <c r="C13" s="24">
        <f t="shared" si="0"/>
        <v>99.4989703498953</v>
      </c>
      <c r="D13">
        <f t="shared" si="4"/>
        <v>5.228944616747601</v>
      </c>
      <c r="E13">
        <f t="shared" si="1"/>
        <v>4.0067223945253785</v>
      </c>
      <c r="F13">
        <f t="shared" si="2"/>
        <v>122.22222222222223</v>
      </c>
      <c r="G13" s="1">
        <f t="shared" si="3"/>
        <v>144.94547409454916</v>
      </c>
    </row>
    <row r="14" spans="2:7" ht="12.75">
      <c r="B14">
        <v>120</v>
      </c>
      <c r="C14" s="24">
        <f t="shared" si="0"/>
        <v>126.68417432962323</v>
      </c>
      <c r="D14">
        <f t="shared" si="4"/>
        <v>12.759119552093885</v>
      </c>
      <c r="E14">
        <f t="shared" si="1"/>
        <v>11.536897329871662</v>
      </c>
      <c r="F14">
        <f t="shared" si="2"/>
        <v>146.66666666666666</v>
      </c>
      <c r="G14" s="1">
        <f t="shared" si="3"/>
        <v>166.6491590037101</v>
      </c>
    </row>
    <row r="15" spans="2:7" ht="12.75">
      <c r="B15">
        <v>140</v>
      </c>
      <c r="C15" s="24">
        <f t="shared" si="0"/>
        <v>156.27956179537665</v>
      </c>
      <c r="D15">
        <f t="shared" si="4"/>
        <v>18.89777440298695</v>
      </c>
      <c r="E15">
        <f t="shared" si="1"/>
        <v>17.67555218076473</v>
      </c>
      <c r="F15">
        <f t="shared" si="2"/>
        <v>171.11111111111111</v>
      </c>
      <c r="G15" s="1">
        <f t="shared" si="3"/>
        <v>185.94266042684558</v>
      </c>
    </row>
    <row r="16" spans="2:7" ht="12.75">
      <c r="B16">
        <v>160</v>
      </c>
      <c r="C16" s="24">
        <f t="shared" si="0"/>
        <v>187.6638529989631</v>
      </c>
      <c r="D16">
        <f t="shared" si="4"/>
        <v>22.90449679751233</v>
      </c>
      <c r="E16">
        <f t="shared" si="1"/>
        <v>21.68227457529011</v>
      </c>
      <c r="F16">
        <f t="shared" si="2"/>
        <v>195.55555555555554</v>
      </c>
      <c r="G16" s="1">
        <f t="shared" si="3"/>
        <v>203.447258112148</v>
      </c>
    </row>
    <row r="17" spans="2:7" ht="12.75">
      <c r="B17">
        <v>180</v>
      </c>
      <c r="C17" s="24">
        <f t="shared" si="0"/>
        <v>220.00000000000003</v>
      </c>
      <c r="D17">
        <f t="shared" si="4"/>
        <v>24.296016881965556</v>
      </c>
      <c r="E17">
        <f t="shared" si="1"/>
        <v>23.073794659743335</v>
      </c>
      <c r="F17">
        <f t="shared" si="2"/>
        <v>220</v>
      </c>
      <c r="G17" s="1">
        <f t="shared" si="3"/>
        <v>220</v>
      </c>
    </row>
    <row r="18" spans="2:7" ht="12.75">
      <c r="B18">
        <v>200</v>
      </c>
      <c r="C18" s="24">
        <f t="shared" si="0"/>
        <v>252.33614700103692</v>
      </c>
      <c r="D18">
        <f t="shared" si="4"/>
        <v>22.904496797512333</v>
      </c>
      <c r="E18">
        <f t="shared" si="1"/>
        <v>21.682274575290112</v>
      </c>
      <c r="F18">
        <f t="shared" si="2"/>
        <v>244.44444444444446</v>
      </c>
      <c r="G18" s="1">
        <f t="shared" si="3"/>
        <v>236.552741887852</v>
      </c>
    </row>
    <row r="19" spans="2:7" ht="12.75">
      <c r="B19">
        <v>220</v>
      </c>
      <c r="C19" s="24">
        <f t="shared" si="0"/>
        <v>283.72043820462335</v>
      </c>
      <c r="D19">
        <f t="shared" si="4"/>
        <v>18.897774402986954</v>
      </c>
      <c r="E19">
        <f t="shared" si="1"/>
        <v>17.675552180764733</v>
      </c>
      <c r="F19">
        <f t="shared" si="2"/>
        <v>268.8888888888889</v>
      </c>
      <c r="G19" s="1">
        <f t="shared" si="3"/>
        <v>254.05733957315445</v>
      </c>
    </row>
    <row r="20" spans="2:7" ht="12.75">
      <c r="B20">
        <v>240</v>
      </c>
      <c r="C20" s="24">
        <f t="shared" si="0"/>
        <v>313.3158256703768</v>
      </c>
      <c r="D20">
        <f t="shared" si="4"/>
        <v>12.7591195520939</v>
      </c>
      <c r="E20">
        <f t="shared" si="1"/>
        <v>11.536897329871678</v>
      </c>
      <c r="F20">
        <f t="shared" si="2"/>
        <v>293.3333333333333</v>
      </c>
      <c r="G20" s="1">
        <f t="shared" si="3"/>
        <v>273.3508409962899</v>
      </c>
    </row>
    <row r="21" spans="2:7" ht="12.75">
      <c r="B21">
        <v>260</v>
      </c>
      <c r="C21" s="24">
        <f t="shared" si="0"/>
        <v>340.5010296501047</v>
      </c>
      <c r="D21">
        <f t="shared" si="4"/>
        <v>5.228944616747601</v>
      </c>
      <c r="E21">
        <f t="shared" si="1"/>
        <v>4.0067223945253785</v>
      </c>
      <c r="F21">
        <f t="shared" si="2"/>
        <v>317.77777777777777</v>
      </c>
      <c r="G21" s="1">
        <f t="shared" si="3"/>
        <v>295.0545259054509</v>
      </c>
    </row>
    <row r="22" spans="2:7" ht="12.75">
      <c r="B22">
        <v>280</v>
      </c>
      <c r="C22" s="24">
        <f t="shared" si="0"/>
        <v>364.9454740945491</v>
      </c>
      <c r="D22">
        <f t="shared" si="4"/>
        <v>-2.784500172303148</v>
      </c>
      <c r="E22">
        <f t="shared" si="1"/>
        <v>-4.0067223945253705</v>
      </c>
      <c r="F22">
        <f t="shared" si="2"/>
        <v>342.22222222222223</v>
      </c>
      <c r="G22" s="1">
        <f t="shared" si="3"/>
        <v>319.49897034989533</v>
      </c>
    </row>
    <row r="23" spans="2:7" ht="12.75">
      <c r="B23">
        <v>300</v>
      </c>
      <c r="C23" s="24">
        <f t="shared" si="0"/>
        <v>386.6491590037101</v>
      </c>
      <c r="D23">
        <f t="shared" si="4"/>
        <v>-10.314675107649446</v>
      </c>
      <c r="E23">
        <f t="shared" si="1"/>
        <v>-11.53689732987167</v>
      </c>
      <c r="F23">
        <f t="shared" si="2"/>
        <v>366.6666666666667</v>
      </c>
      <c r="G23" s="1">
        <f t="shared" si="3"/>
        <v>346.68417432962326</v>
      </c>
    </row>
    <row r="24" spans="2:7" ht="12.75">
      <c r="B24">
        <v>320</v>
      </c>
      <c r="C24" s="24">
        <f t="shared" si="0"/>
        <v>405.9426604268456</v>
      </c>
      <c r="D24">
        <f t="shared" si="4"/>
        <v>-16.453329958542504</v>
      </c>
      <c r="E24">
        <f t="shared" si="1"/>
        <v>-17.675552180764726</v>
      </c>
      <c r="F24">
        <f t="shared" si="2"/>
        <v>391.1111111111111</v>
      </c>
      <c r="G24" s="1">
        <f t="shared" si="3"/>
        <v>376.27956179537665</v>
      </c>
    </row>
    <row r="25" spans="2:7" ht="12.75">
      <c r="B25">
        <v>340</v>
      </c>
      <c r="C25" s="24">
        <f t="shared" si="0"/>
        <v>423.44725811214806</v>
      </c>
      <c r="D25">
        <f t="shared" si="4"/>
        <v>-20.46005235306789</v>
      </c>
      <c r="E25">
        <f t="shared" si="1"/>
        <v>-21.682274575290112</v>
      </c>
      <c r="F25">
        <f t="shared" si="2"/>
        <v>415.55555555555554</v>
      </c>
      <c r="G25" s="1">
        <f t="shared" si="3"/>
        <v>407.6638529989631</v>
      </c>
    </row>
    <row r="26" spans="2:7" ht="12.75">
      <c r="B26">
        <v>360</v>
      </c>
      <c r="C26" s="24">
        <f t="shared" si="0"/>
        <v>440.00000000000006</v>
      </c>
      <c r="D26">
        <f t="shared" si="4"/>
        <v>-21.851572437521114</v>
      </c>
      <c r="E26">
        <f t="shared" si="1"/>
        <v>-23.073794659743335</v>
      </c>
      <c r="F26">
        <f t="shared" si="2"/>
        <v>440</v>
      </c>
      <c r="G26" s="1">
        <f t="shared" si="3"/>
        <v>440</v>
      </c>
    </row>
    <row r="27" spans="2:7" ht="12.75">
      <c r="B27">
        <v>380</v>
      </c>
      <c r="C27" s="24">
        <f t="shared" si="0"/>
        <v>456.552741887852</v>
      </c>
      <c r="D27">
        <f t="shared" si="4"/>
        <v>-20.460052353067887</v>
      </c>
      <c r="E27">
        <f t="shared" si="1"/>
        <v>-21.68227457529011</v>
      </c>
      <c r="F27">
        <f t="shared" si="2"/>
        <v>464.44444444444446</v>
      </c>
      <c r="G27" s="1">
        <f t="shared" si="3"/>
        <v>472.3361470010369</v>
      </c>
    </row>
    <row r="28" spans="2:7" ht="12.75">
      <c r="B28">
        <v>400</v>
      </c>
      <c r="C28" s="24">
        <f t="shared" si="0"/>
        <v>474.0573395731545</v>
      </c>
      <c r="D28">
        <f t="shared" si="4"/>
        <v>-16.45332995854251</v>
      </c>
      <c r="E28">
        <f t="shared" si="1"/>
        <v>-17.675552180764733</v>
      </c>
      <c r="F28">
        <f t="shared" si="2"/>
        <v>488.8888888888889</v>
      </c>
      <c r="G28" s="1">
        <f t="shared" si="3"/>
        <v>503.72043820462335</v>
      </c>
    </row>
    <row r="29" spans="2:7" ht="12.75">
      <c r="B29">
        <v>420</v>
      </c>
      <c r="C29" s="24">
        <f t="shared" si="0"/>
        <v>493.35084099628995</v>
      </c>
      <c r="D29">
        <f t="shared" si="4"/>
        <v>-10.314675107649439</v>
      </c>
      <c r="E29">
        <f t="shared" si="1"/>
        <v>-11.53689732987166</v>
      </c>
      <c r="F29">
        <f t="shared" si="2"/>
        <v>513.3333333333334</v>
      </c>
      <c r="G29" s="1">
        <f t="shared" si="3"/>
        <v>533.3158256703769</v>
      </c>
    </row>
    <row r="30" spans="2:7" ht="12.75">
      <c r="B30">
        <v>440</v>
      </c>
      <c r="C30" s="24">
        <f t="shared" si="0"/>
        <v>515.0545259054509</v>
      </c>
      <c r="D30">
        <f t="shared" si="4"/>
        <v>-2.784500172303159</v>
      </c>
      <c r="E30">
        <f t="shared" si="1"/>
        <v>-4.006722394525381</v>
      </c>
      <c r="F30">
        <f t="shared" si="2"/>
        <v>537.7777777777778</v>
      </c>
      <c r="G30" s="1">
        <f t="shared" si="3"/>
        <v>560.5010296501048</v>
      </c>
    </row>
    <row r="31" spans="2:7" ht="12.75">
      <c r="B31">
        <v>460</v>
      </c>
      <c r="C31" s="24">
        <f t="shared" si="0"/>
        <v>539.4989703498953</v>
      </c>
      <c r="D31">
        <f t="shared" si="4"/>
        <v>5.22894461674759</v>
      </c>
      <c r="E31">
        <f t="shared" si="1"/>
        <v>4.006722394525368</v>
      </c>
      <c r="F31">
        <f t="shared" si="2"/>
        <v>562.2222222222222</v>
      </c>
      <c r="G31" s="1">
        <f t="shared" si="3"/>
        <v>584.9454740945491</v>
      </c>
    </row>
    <row r="32" spans="2:7" ht="12.75">
      <c r="B32">
        <v>480</v>
      </c>
      <c r="C32" s="24">
        <f t="shared" si="0"/>
        <v>566.6841743296233</v>
      </c>
      <c r="D32">
        <f t="shared" si="4"/>
        <v>12.759119552093871</v>
      </c>
      <c r="E32">
        <f t="shared" si="1"/>
        <v>11.53689732987165</v>
      </c>
      <c r="F32">
        <f t="shared" si="2"/>
        <v>586.6666666666666</v>
      </c>
      <c r="G32" s="1">
        <f t="shared" si="3"/>
        <v>606.6491590037101</v>
      </c>
    </row>
    <row r="33" spans="2:7" ht="12.75">
      <c r="B33">
        <v>500</v>
      </c>
      <c r="C33" s="24">
        <f t="shared" si="0"/>
        <v>596.2795617953767</v>
      </c>
      <c r="D33">
        <f t="shared" si="4"/>
        <v>18.89777440298696</v>
      </c>
      <c r="E33">
        <f t="shared" si="1"/>
        <v>17.67555218076474</v>
      </c>
      <c r="F33">
        <f t="shared" si="2"/>
        <v>611.1111111111111</v>
      </c>
      <c r="G33" s="1">
        <f t="shared" si="3"/>
        <v>625.9426604268456</v>
      </c>
    </row>
    <row r="34" spans="2:7" ht="12.75">
      <c r="B34">
        <v>520</v>
      </c>
      <c r="C34" s="24">
        <f t="shared" si="0"/>
        <v>627.6638529989632</v>
      </c>
      <c r="D34">
        <f t="shared" si="4"/>
        <v>22.904496797512333</v>
      </c>
      <c r="E34">
        <f t="shared" si="1"/>
        <v>21.682274575290112</v>
      </c>
      <c r="F34">
        <f t="shared" si="2"/>
        <v>635.5555555555555</v>
      </c>
      <c r="G34" s="1">
        <f t="shared" si="3"/>
        <v>643.447258112148</v>
      </c>
    </row>
    <row r="35" spans="2:7" ht="12.75">
      <c r="B35">
        <v>540</v>
      </c>
      <c r="C35" s="24">
        <f t="shared" si="0"/>
        <v>660</v>
      </c>
      <c r="D35">
        <f t="shared" si="4"/>
        <v>24.296016881965556</v>
      </c>
      <c r="E35">
        <f t="shared" si="1"/>
        <v>23.073794659743335</v>
      </c>
      <c r="F35">
        <f t="shared" si="2"/>
        <v>660</v>
      </c>
      <c r="G35" s="1">
        <f t="shared" si="3"/>
        <v>660</v>
      </c>
    </row>
    <row r="36" spans="2:7" ht="12.75">
      <c r="B36">
        <v>560</v>
      </c>
      <c r="C36" s="24">
        <f t="shared" si="0"/>
        <v>692.3361470010369</v>
      </c>
      <c r="D36">
        <f t="shared" si="4"/>
        <v>22.90449679751234</v>
      </c>
      <c r="E36">
        <f t="shared" si="1"/>
        <v>21.68227457529012</v>
      </c>
      <c r="F36">
        <f t="shared" si="2"/>
        <v>684.4444444444445</v>
      </c>
      <c r="G36" s="1">
        <f t="shared" si="3"/>
        <v>676.552741887852</v>
      </c>
    </row>
    <row r="37" spans="2:7" ht="12.75">
      <c r="B37">
        <v>580</v>
      </c>
      <c r="C37" s="24">
        <f t="shared" si="0"/>
        <v>723.7204382046234</v>
      </c>
      <c r="D37">
        <f t="shared" si="4"/>
        <v>18.897774402986947</v>
      </c>
      <c r="E37">
        <f t="shared" si="1"/>
        <v>17.675552180764726</v>
      </c>
      <c r="F37">
        <f t="shared" si="2"/>
        <v>708.8888888888889</v>
      </c>
      <c r="G37" s="1">
        <f t="shared" si="3"/>
        <v>694.0573395731544</v>
      </c>
    </row>
    <row r="38" spans="2:7" ht="12.75">
      <c r="B38">
        <v>600</v>
      </c>
      <c r="C38" s="24">
        <f t="shared" si="0"/>
        <v>753.3158256703769</v>
      </c>
      <c r="D38">
        <f t="shared" si="4"/>
        <v>12.759119552093885</v>
      </c>
      <c r="E38">
        <f t="shared" si="1"/>
        <v>11.536897329871664</v>
      </c>
      <c r="F38">
        <f t="shared" si="2"/>
        <v>733.3333333333334</v>
      </c>
      <c r="G38" s="1">
        <f t="shared" si="3"/>
        <v>713.3508409962899</v>
      </c>
    </row>
    <row r="39" spans="2:7" ht="12.75">
      <c r="B39">
        <v>620</v>
      </c>
      <c r="C39" s="24">
        <f t="shared" si="0"/>
        <v>780.5010296501048</v>
      </c>
      <c r="D39">
        <f t="shared" si="4"/>
        <v>5.228944616747607</v>
      </c>
      <c r="E39">
        <f t="shared" si="1"/>
        <v>4.006722394525385</v>
      </c>
      <c r="F39">
        <f t="shared" si="2"/>
        <v>757.7777777777778</v>
      </c>
      <c r="G39" s="1">
        <f t="shared" si="3"/>
        <v>735.0545259054509</v>
      </c>
    </row>
    <row r="40" spans="2:7" ht="12.75">
      <c r="B40">
        <v>640</v>
      </c>
      <c r="C40" s="24">
        <f t="shared" si="0"/>
        <v>804.9454740945492</v>
      </c>
      <c r="D40">
        <f t="shared" si="4"/>
        <v>-2.784500172303143</v>
      </c>
      <c r="E40">
        <f t="shared" si="1"/>
        <v>-4.006722394525365</v>
      </c>
      <c r="F40">
        <f t="shared" si="2"/>
        <v>782.2222222222222</v>
      </c>
      <c r="G40" s="1">
        <f t="shared" si="3"/>
        <v>759.4989703498952</v>
      </c>
    </row>
    <row r="41" spans="2:7" ht="12.75">
      <c r="B41">
        <v>660</v>
      </c>
      <c r="C41" s="24">
        <f t="shared" si="0"/>
        <v>826.6491590037102</v>
      </c>
      <c r="D41">
        <f t="shared" si="4"/>
        <v>-10.314675107649425</v>
      </c>
      <c r="E41">
        <f t="shared" si="1"/>
        <v>-11.536897329871646</v>
      </c>
      <c r="F41">
        <f t="shared" si="2"/>
        <v>806.6666666666666</v>
      </c>
      <c r="G41" s="1">
        <f t="shared" si="3"/>
        <v>786.6841743296231</v>
      </c>
    </row>
    <row r="42" spans="2:7" ht="12.75">
      <c r="B42">
        <v>680</v>
      </c>
      <c r="C42" s="24">
        <f t="shared" si="0"/>
        <v>845.9426604268457</v>
      </c>
      <c r="D42">
        <f t="shared" si="4"/>
        <v>-16.453329958542515</v>
      </c>
      <c r="E42">
        <f t="shared" si="1"/>
        <v>-17.675552180764736</v>
      </c>
      <c r="F42">
        <f t="shared" si="2"/>
        <v>831.1111111111111</v>
      </c>
      <c r="G42" s="1">
        <f t="shared" si="3"/>
        <v>816.2795617953766</v>
      </c>
    </row>
    <row r="43" spans="2:7" ht="12.75">
      <c r="B43">
        <v>700</v>
      </c>
      <c r="C43" s="24">
        <f t="shared" si="0"/>
        <v>863.4472581121481</v>
      </c>
      <c r="D43">
        <f t="shared" si="4"/>
        <v>-20.460052353067887</v>
      </c>
      <c r="E43">
        <f t="shared" si="1"/>
        <v>-21.68227457529011</v>
      </c>
      <c r="F43">
        <f t="shared" si="2"/>
        <v>855.5555555555555</v>
      </c>
      <c r="G43" s="1">
        <f t="shared" si="3"/>
        <v>847.6638529989631</v>
      </c>
    </row>
    <row r="44" spans="2:7" ht="12.75">
      <c r="B44">
        <v>720</v>
      </c>
      <c r="C44" s="24">
        <f t="shared" si="0"/>
        <v>880.0000000000001</v>
      </c>
      <c r="D44">
        <f t="shared" si="4"/>
        <v>-21.851572437521114</v>
      </c>
      <c r="E44">
        <f t="shared" si="1"/>
        <v>-23.073794659743335</v>
      </c>
      <c r="F44">
        <f t="shared" si="2"/>
        <v>880</v>
      </c>
      <c r="G44" s="1">
        <f t="shared" si="3"/>
        <v>880</v>
      </c>
    </row>
    <row r="47" ht="12.75">
      <c r="A47" t="s">
        <v>212</v>
      </c>
    </row>
    <row r="51" ht="12.75">
      <c r="E51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U60"/>
  <sheetViews>
    <sheetView workbookViewId="0" topLeftCell="A17">
      <selection activeCell="P35" sqref="P35"/>
    </sheetView>
  </sheetViews>
  <sheetFormatPr defaultColWidth="9.140625" defaultRowHeight="12.75"/>
  <cols>
    <col min="1" max="5" width="8.8515625" style="1" customWidth="1"/>
    <col min="6" max="6" width="9.00390625" style="1" customWidth="1"/>
    <col min="7" max="16384" width="8.8515625" style="1" customWidth="1"/>
  </cols>
  <sheetData>
    <row r="1" spans="1:17" ht="12.75">
      <c r="A1" s="1" t="s">
        <v>166</v>
      </c>
      <c r="M1"/>
      <c r="N1"/>
      <c r="Q1" s="1" t="s">
        <v>24</v>
      </c>
    </row>
    <row r="2" spans="1:21" ht="12.75">
      <c r="A2" s="1" t="s">
        <v>61</v>
      </c>
      <c r="C2" s="1">
        <f>LBP</f>
        <v>440</v>
      </c>
      <c r="M2"/>
      <c r="N2"/>
      <c r="R2" s="18" t="s">
        <v>32</v>
      </c>
      <c r="S2" s="18"/>
      <c r="T2" s="18"/>
      <c r="U2" s="18" t="s">
        <v>58</v>
      </c>
    </row>
    <row r="3" spans="1:21" ht="12.75">
      <c r="A3" s="1" t="s">
        <v>62</v>
      </c>
      <c r="C3" s="1">
        <f>1.1*SQRT(LBP)</f>
        <v>23.073794659743335</v>
      </c>
      <c r="D3" s="1" t="s">
        <v>167</v>
      </c>
      <c r="K3" s="4"/>
      <c r="N3"/>
      <c r="Q3" s="1" t="s">
        <v>15</v>
      </c>
      <c r="R3" s="1">
        <f>mean_draft_hogging</f>
        <v>18.49451428716511</v>
      </c>
      <c r="U3" s="1">
        <f>mean_draft_still</f>
        <v>19.091182829755734</v>
      </c>
    </row>
    <row r="4" spans="8:21" ht="12.75">
      <c r="H4" s="18" t="s">
        <v>88</v>
      </c>
      <c r="Q4" s="1" t="s">
        <v>16</v>
      </c>
      <c r="R4" s="1">
        <f>trim_angle_hogging</f>
        <v>-1.8804723786062412</v>
      </c>
      <c r="U4" s="1">
        <f>trim_angle_still</f>
        <v>-0.6178404547935284</v>
      </c>
    </row>
    <row r="5" spans="2:20" ht="12.75">
      <c r="B5" s="1" t="s">
        <v>47</v>
      </c>
      <c r="D5" s="1" t="s">
        <v>49</v>
      </c>
      <c r="H5" s="1" t="s">
        <v>50</v>
      </c>
      <c r="T5" s="1" t="s">
        <v>18</v>
      </c>
    </row>
    <row r="6" spans="1:21" ht="12.75">
      <c r="A6" s="1" t="s">
        <v>56</v>
      </c>
      <c r="B6" s="1" t="s">
        <v>52</v>
      </c>
      <c r="C6" s="1" t="s">
        <v>53</v>
      </c>
      <c r="D6" s="3" t="s">
        <v>54</v>
      </c>
      <c r="E6" s="1" t="s">
        <v>55</v>
      </c>
      <c r="F6" s="1" t="s">
        <v>48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46</v>
      </c>
      <c r="Q6" s="1" t="s">
        <v>59</v>
      </c>
      <c r="R6" s="1" t="s">
        <v>17</v>
      </c>
      <c r="U6" s="1" t="s">
        <v>23</v>
      </c>
    </row>
    <row r="7" spans="1:21" ht="12.75">
      <c r="A7" s="1">
        <v>0</v>
      </c>
      <c r="B7" s="1">
        <f aca="true" t="shared" si="0" ref="B7:B43">LBP*A7/(360)+htwave*SIN(RADIANS(A7))</f>
        <v>0</v>
      </c>
      <c r="C7" s="1">
        <f>htwave*(1-COS(RADIANS(A7)))/2</f>
        <v>0</v>
      </c>
      <c r="D7" s="1">
        <f>LBP/360*A7-htwave*SIN(RADIANS(A7))</f>
        <v>0</v>
      </c>
      <c r="E7" s="1">
        <f>htwave*(1+COS(RADIANS(A7)))/2</f>
        <v>23.073794659743335</v>
      </c>
      <c r="F7" s="1">
        <f aca="true" t="shared" si="1" ref="F7:F43">LBP*A7/(360)</f>
        <v>0</v>
      </c>
      <c r="H7" s="1">
        <v>0</v>
      </c>
      <c r="I7" s="1">
        <f aca="true" t="shared" si="2" ref="I7:I27">H7*LBP/(number_of_stations-1)</f>
        <v>0</v>
      </c>
      <c r="J7" s="1">
        <f aca="true" t="shared" si="3" ref="J7:J27">MATCH(I7,x_array_hogging)</f>
        <v>1</v>
      </c>
      <c r="K7" s="1">
        <f>INDEX(x_array_hogging,J7)</f>
        <v>0</v>
      </c>
      <c r="L7" s="1">
        <f>IF(I7&lt;LBP,INDEX(x_array_hogging,J7+1),K7)</f>
        <v>16.2289446167476</v>
      </c>
      <c r="M7" s="1">
        <f>INDEX(phi_array,J7)</f>
        <v>0</v>
      </c>
      <c r="N7" s="1">
        <f>IF(K7&lt;LBP,INDEX(phi_array,J7+1),M7)</f>
        <v>10</v>
      </c>
      <c r="O7" s="1">
        <f aca="true" t="shared" si="4" ref="O7:O26">IF(I7&lt;LBP,(I7-K7)/(L7-K7)*(N7-M7)+M7,M7)</f>
        <v>0</v>
      </c>
      <c r="P7" s="1">
        <f aca="true" t="shared" si="5" ref="P7:P27">LBP*O7/(360)+htwave*SIN(RADIANS(O7))</f>
        <v>0</v>
      </c>
      <c r="Q7" s="1">
        <f>htwave*(1-COS(RADIANS(O7)))/2</f>
        <v>0</v>
      </c>
      <c r="R7" s="1">
        <f>(Q7-htwave/2)+mean_draft_hogging+(LBP/2-P7)*TAN(RADIANS(trim_angle_hogging))</f>
        <v>-0.265472343520643</v>
      </c>
      <c r="U7" s="1">
        <f aca="true" t="shared" si="6" ref="U7:U27">mean_draft_still+(LBP/2-I7)*TAN(RADIANS(trim_angle_still))</f>
        <v>16.71875383179121</v>
      </c>
    </row>
    <row r="8" spans="1:21" ht="12.75">
      <c r="A8" s="1">
        <v>10</v>
      </c>
      <c r="B8" s="1">
        <f t="shared" si="0"/>
        <v>16.2289446167476</v>
      </c>
      <c r="C8" s="1">
        <f aca="true" t="shared" si="7" ref="C8:C43">htwave*(1-COS(RADIANS(A8)))/2</f>
        <v>0.17527139370820818</v>
      </c>
      <c r="D8" s="1">
        <f aca="true" t="shared" si="8" ref="D8:D43">LBP/360*A8-htwave*SIN(RADIANS(A8))</f>
        <v>8.215499827696846</v>
      </c>
      <c r="E8" s="1">
        <f aca="true" t="shared" si="9" ref="E8:E43">htwave*(1+COS(RADIANS(A8)))/2</f>
        <v>22.898523266035127</v>
      </c>
      <c r="F8" s="1">
        <f t="shared" si="1"/>
        <v>12.222222222222221</v>
      </c>
      <c r="H8" s="1">
        <v>1</v>
      </c>
      <c r="I8" s="1">
        <f t="shared" si="2"/>
        <v>22</v>
      </c>
      <c r="J8" s="1">
        <f t="shared" si="3"/>
        <v>2</v>
      </c>
      <c r="K8" s="1">
        <f aca="true" t="shared" si="10" ref="K8:K27">INDEX(x_array_hogging,J8)</f>
        <v>16.2289446167476</v>
      </c>
      <c r="L8" s="1">
        <f aca="true" t="shared" si="11" ref="L8:L26">IF(I8&lt;LBP,INDEX(x_array_hogging,J8+1),K8)</f>
        <v>32.336147001036906</v>
      </c>
      <c r="M8" s="1">
        <f aca="true" t="shared" si="12" ref="M8:M27">INDEX(phi_array,J8)</f>
        <v>10</v>
      </c>
      <c r="N8" s="1">
        <f aca="true" t="shared" si="13" ref="N8:N27">IF(K8&lt;LBP,INDEX(phi_array,J8+1),M8)</f>
        <v>20</v>
      </c>
      <c r="O8" s="1">
        <f t="shared" si="4"/>
        <v>13.582903626318988</v>
      </c>
      <c r="P8" s="1">
        <f t="shared" si="5"/>
        <v>22.020255349780417</v>
      </c>
      <c r="Q8" s="1">
        <f>htwave*(1-COS(RADIANS(O8)))/2</f>
        <v>0.32267408666091746</v>
      </c>
      <c r="R8" s="1">
        <f aca="true" t="shared" si="14" ref="R8:R27">(Q8-htwave/2)+mean_draft_hogging+(LBP/2-P8)*TAN(RADIANS(trim_angle_hogging))</f>
        <v>0.7801757014047892</v>
      </c>
      <c r="U8" s="1">
        <f t="shared" si="6"/>
        <v>16.955996731587664</v>
      </c>
    </row>
    <row r="9" spans="1:21" ht="12.75">
      <c r="A9" s="1">
        <v>20</v>
      </c>
      <c r="B9" s="1">
        <f t="shared" si="0"/>
        <v>32.336147001036906</v>
      </c>
      <c r="C9" s="1">
        <f t="shared" si="7"/>
        <v>0.6957600422266111</v>
      </c>
      <c r="D9" s="1">
        <f t="shared" si="8"/>
        <v>16.55274188785198</v>
      </c>
      <c r="E9" s="1">
        <f t="shared" si="9"/>
        <v>22.378034617516725</v>
      </c>
      <c r="F9" s="1">
        <f t="shared" si="1"/>
        <v>24.444444444444443</v>
      </c>
      <c r="H9" s="1">
        <v>2</v>
      </c>
      <c r="I9" s="1">
        <f t="shared" si="2"/>
        <v>44</v>
      </c>
      <c r="J9" s="1">
        <f t="shared" si="3"/>
        <v>3</v>
      </c>
      <c r="K9" s="1">
        <f t="shared" si="10"/>
        <v>32.336147001036906</v>
      </c>
      <c r="L9" s="1">
        <f t="shared" si="11"/>
        <v>48.20356399653833</v>
      </c>
      <c r="M9" s="1">
        <f t="shared" si="12"/>
        <v>20</v>
      </c>
      <c r="N9" s="1">
        <f t="shared" si="13"/>
        <v>30</v>
      </c>
      <c r="O9" s="1">
        <f t="shared" si="4"/>
        <v>27.350820238902095</v>
      </c>
      <c r="P9" s="1">
        <f t="shared" si="5"/>
        <v>44.02974821309559</v>
      </c>
      <c r="Q9" s="1">
        <f aca="true" t="shared" si="15" ref="Q9:Q27">htwave*(1-COS(RADIANS(O9)))/2</f>
        <v>1.289708945542517</v>
      </c>
      <c r="R9" s="1">
        <f t="shared" si="14"/>
        <v>2.4698311621834588</v>
      </c>
      <c r="U9" s="1">
        <f t="shared" si="6"/>
        <v>17.193239631384117</v>
      </c>
    </row>
    <row r="10" spans="1:21" ht="12.75">
      <c r="A10" s="1">
        <v>30</v>
      </c>
      <c r="B10" s="1">
        <f t="shared" si="0"/>
        <v>48.20356399653833</v>
      </c>
      <c r="C10" s="1">
        <f t="shared" si="7"/>
        <v>1.545651161349944</v>
      </c>
      <c r="D10" s="1">
        <f t="shared" si="8"/>
        <v>25.129769336795007</v>
      </c>
      <c r="E10" s="1">
        <f t="shared" si="9"/>
        <v>21.528143498393394</v>
      </c>
      <c r="F10" s="1">
        <f t="shared" si="1"/>
        <v>36.666666666666664</v>
      </c>
      <c r="H10" s="1">
        <v>3</v>
      </c>
      <c r="I10" s="1">
        <f t="shared" si="2"/>
        <v>66</v>
      </c>
      <c r="J10" s="1">
        <f t="shared" si="3"/>
        <v>5</v>
      </c>
      <c r="K10" s="1">
        <f t="shared" si="10"/>
        <v>63.720438204623335</v>
      </c>
      <c r="L10" s="1">
        <f t="shared" si="11"/>
        <v>78.78666329187584</v>
      </c>
      <c r="M10" s="1">
        <f t="shared" si="12"/>
        <v>40</v>
      </c>
      <c r="N10" s="1">
        <f t="shared" si="13"/>
        <v>50</v>
      </c>
      <c r="O10" s="1">
        <f t="shared" si="4"/>
        <v>41.51302783688357</v>
      </c>
      <c r="P10" s="1">
        <f t="shared" si="5"/>
        <v>66.03123305603874</v>
      </c>
      <c r="Q10" s="1">
        <f t="shared" si="15"/>
        <v>2.898010512002151</v>
      </c>
      <c r="R10" s="1">
        <f t="shared" si="14"/>
        <v>4.800490409420758</v>
      </c>
      <c r="U10" s="1">
        <f t="shared" si="6"/>
        <v>17.43048253118057</v>
      </c>
    </row>
    <row r="11" spans="1:21" ht="12.75">
      <c r="A11" s="1">
        <v>40</v>
      </c>
      <c r="B11" s="1">
        <f t="shared" si="0"/>
        <v>63.720438204623335</v>
      </c>
      <c r="C11" s="1">
        <f t="shared" si="7"/>
        <v>2.6991212394893016</v>
      </c>
      <c r="D11" s="1">
        <f t="shared" si="8"/>
        <v>34.05733957315444</v>
      </c>
      <c r="E11" s="1">
        <f t="shared" si="9"/>
        <v>20.374673420254034</v>
      </c>
      <c r="F11" s="1">
        <f t="shared" si="1"/>
        <v>48.888888888888886</v>
      </c>
      <c r="H11" s="1">
        <v>4</v>
      </c>
      <c r="I11" s="1">
        <f t="shared" si="2"/>
        <v>88</v>
      </c>
      <c r="J11" s="1">
        <f t="shared" si="3"/>
        <v>6</v>
      </c>
      <c r="K11" s="1">
        <f t="shared" si="10"/>
        <v>78.78666329187584</v>
      </c>
      <c r="L11" s="1">
        <f t="shared" si="11"/>
        <v>93.31582567037677</v>
      </c>
      <c r="M11" s="1">
        <f t="shared" si="12"/>
        <v>50</v>
      </c>
      <c r="N11" s="1">
        <f t="shared" si="13"/>
        <v>60</v>
      </c>
      <c r="O11" s="1">
        <f t="shared" si="4"/>
        <v>56.34127175958699</v>
      </c>
      <c r="P11" s="1">
        <f t="shared" si="5"/>
        <v>88.06710987633434</v>
      </c>
      <c r="Q11" s="1">
        <f t="shared" si="15"/>
        <v>5.142629627433839</v>
      </c>
      <c r="R11" s="1">
        <f t="shared" si="14"/>
        <v>7.768596370737599</v>
      </c>
      <c r="U11" s="1">
        <f t="shared" si="6"/>
        <v>17.667725430977022</v>
      </c>
    </row>
    <row r="12" spans="1:21" ht="12.75">
      <c r="A12" s="1">
        <v>50</v>
      </c>
      <c r="B12" s="1">
        <f t="shared" si="0"/>
        <v>78.78666329187584</v>
      </c>
      <c r="C12" s="1">
        <f t="shared" si="7"/>
        <v>4.12112267200444</v>
      </c>
      <c r="D12" s="1">
        <f t="shared" si="8"/>
        <v>43.43555893034638</v>
      </c>
      <c r="E12" s="1">
        <f t="shared" si="9"/>
        <v>18.952671987738892</v>
      </c>
      <c r="F12" s="1">
        <f t="shared" si="1"/>
        <v>61.111111111111114</v>
      </c>
      <c r="H12" s="1">
        <v>5</v>
      </c>
      <c r="I12" s="1">
        <f t="shared" si="2"/>
        <v>110</v>
      </c>
      <c r="J12" s="1">
        <f t="shared" si="3"/>
        <v>8</v>
      </c>
      <c r="K12" s="1">
        <f t="shared" si="10"/>
        <v>107.23783013084567</v>
      </c>
      <c r="L12" s="1">
        <f t="shared" si="11"/>
        <v>120.5010296501047</v>
      </c>
      <c r="M12" s="1">
        <f t="shared" si="12"/>
        <v>70</v>
      </c>
      <c r="N12" s="1">
        <f t="shared" si="13"/>
        <v>80</v>
      </c>
      <c r="O12" s="1">
        <f t="shared" si="4"/>
        <v>72.08258185752501</v>
      </c>
      <c r="P12" s="1">
        <f t="shared" si="5"/>
        <v>110.05567028082538</v>
      </c>
      <c r="Q12" s="1">
        <f t="shared" si="15"/>
        <v>7.98761825948765</v>
      </c>
      <c r="R12" s="1">
        <f t="shared" si="14"/>
        <v>11.335518345509518</v>
      </c>
      <c r="U12" s="1">
        <f t="shared" si="6"/>
        <v>17.904968330773475</v>
      </c>
    </row>
    <row r="13" spans="1:21" ht="12.75">
      <c r="A13" s="1">
        <v>60</v>
      </c>
      <c r="B13" s="1">
        <f t="shared" si="0"/>
        <v>93.31582567037677</v>
      </c>
      <c r="C13" s="1">
        <f t="shared" si="7"/>
        <v>5.768448664935833</v>
      </c>
      <c r="D13" s="1">
        <f t="shared" si="8"/>
        <v>53.3508409962899</v>
      </c>
      <c r="E13" s="1">
        <f t="shared" si="9"/>
        <v>17.305345994807503</v>
      </c>
      <c r="F13" s="1">
        <f t="shared" si="1"/>
        <v>73.33333333333333</v>
      </c>
      <c r="H13" s="1">
        <v>6</v>
      </c>
      <c r="I13" s="1">
        <f t="shared" si="2"/>
        <v>132</v>
      </c>
      <c r="J13" s="1">
        <f t="shared" si="3"/>
        <v>9</v>
      </c>
      <c r="K13" s="1">
        <f t="shared" si="10"/>
        <v>120.5010296501047</v>
      </c>
      <c r="L13" s="1">
        <f t="shared" si="11"/>
        <v>133.07379465974333</v>
      </c>
      <c r="M13" s="1">
        <f t="shared" si="12"/>
        <v>80</v>
      </c>
      <c r="N13" s="1">
        <f t="shared" si="13"/>
        <v>90</v>
      </c>
      <c r="O13" s="1">
        <f t="shared" si="4"/>
        <v>89.1459359505088</v>
      </c>
      <c r="P13" s="1">
        <f t="shared" si="5"/>
        <v>132.02737519793203</v>
      </c>
      <c r="Q13" s="1">
        <f t="shared" si="15"/>
        <v>11.364932056891252</v>
      </c>
      <c r="R13" s="1">
        <f t="shared" si="14"/>
        <v>15.434212082492198</v>
      </c>
      <c r="U13" s="1">
        <f t="shared" si="6"/>
        <v>18.142211230569927</v>
      </c>
    </row>
    <row r="14" spans="1:21" ht="12.75">
      <c r="A14" s="1">
        <v>70</v>
      </c>
      <c r="B14" s="1">
        <f t="shared" si="0"/>
        <v>107.23783013084567</v>
      </c>
      <c r="C14" s="1">
        <f t="shared" si="7"/>
        <v>7.591046051575433</v>
      </c>
      <c r="D14" s="1">
        <f t="shared" si="8"/>
        <v>63.87328098026545</v>
      </c>
      <c r="E14" s="1">
        <f t="shared" si="9"/>
        <v>15.482748608167903</v>
      </c>
      <c r="F14" s="1">
        <f t="shared" si="1"/>
        <v>85.55555555555556</v>
      </c>
      <c r="H14" s="1">
        <v>7</v>
      </c>
      <c r="I14" s="1">
        <f t="shared" si="2"/>
        <v>154</v>
      </c>
      <c r="J14" s="1">
        <f t="shared" si="3"/>
        <v>11</v>
      </c>
      <c r="K14" s="1">
        <f t="shared" si="10"/>
        <v>144.94547409454916</v>
      </c>
      <c r="L14" s="1">
        <f t="shared" si="11"/>
        <v>156.12671901973457</v>
      </c>
      <c r="M14" s="1">
        <f t="shared" si="12"/>
        <v>100</v>
      </c>
      <c r="N14" s="1">
        <f t="shared" si="13"/>
        <v>110</v>
      </c>
      <c r="O14" s="1">
        <f t="shared" si="4"/>
        <v>108.09795864953804</v>
      </c>
      <c r="P14" s="1">
        <f t="shared" si="5"/>
        <v>154.05198743764802</v>
      </c>
      <c r="Q14" s="1">
        <f t="shared" si="15"/>
        <v>15.120748699179519</v>
      </c>
      <c r="R14" s="1">
        <f t="shared" si="14"/>
        <v>19.9131457294317</v>
      </c>
      <c r="U14" s="1">
        <f t="shared" si="6"/>
        <v>18.379454130366376</v>
      </c>
    </row>
    <row r="15" spans="1:21" ht="12.75">
      <c r="A15" s="1">
        <v>80</v>
      </c>
      <c r="B15" s="1">
        <f t="shared" si="0"/>
        <v>120.5010296501047</v>
      </c>
      <c r="C15" s="1">
        <f t="shared" si="7"/>
        <v>9.533536132608978</v>
      </c>
      <c r="D15" s="1">
        <f t="shared" si="8"/>
        <v>75.05452590545087</v>
      </c>
      <c r="E15" s="1">
        <f t="shared" si="9"/>
        <v>13.540258527134359</v>
      </c>
      <c r="F15" s="1">
        <f t="shared" si="1"/>
        <v>97.77777777777777</v>
      </c>
      <c r="H15" s="1">
        <v>8</v>
      </c>
      <c r="I15" s="1">
        <f t="shared" si="2"/>
        <v>176</v>
      </c>
      <c r="J15" s="1">
        <f t="shared" si="3"/>
        <v>13</v>
      </c>
      <c r="K15" s="1">
        <f t="shared" si="10"/>
        <v>166.6491590037101</v>
      </c>
      <c r="L15" s="1">
        <f t="shared" si="11"/>
        <v>176.5644410696536</v>
      </c>
      <c r="M15" s="1">
        <f t="shared" si="12"/>
        <v>120</v>
      </c>
      <c r="N15" s="1">
        <f t="shared" si="13"/>
        <v>130</v>
      </c>
      <c r="O15" s="1">
        <f t="shared" si="4"/>
        <v>129.4307362454243</v>
      </c>
      <c r="P15" s="1">
        <f t="shared" si="5"/>
        <v>176.0151586790678</v>
      </c>
      <c r="Q15" s="1">
        <f t="shared" si="15"/>
        <v>18.86449945097788</v>
      </c>
      <c r="R15" s="1">
        <f t="shared" si="14"/>
        <v>24.37799624125664</v>
      </c>
      <c r="U15" s="1">
        <f t="shared" si="6"/>
        <v>18.61669703016283</v>
      </c>
    </row>
    <row r="16" spans="1:21" ht="12.75">
      <c r="A16" s="1">
        <v>90</v>
      </c>
      <c r="B16" s="1">
        <f t="shared" si="0"/>
        <v>133.07379465974333</v>
      </c>
      <c r="C16" s="1">
        <f t="shared" si="7"/>
        <v>11.536897329871666</v>
      </c>
      <c r="D16" s="1">
        <f t="shared" si="8"/>
        <v>86.92620534025667</v>
      </c>
      <c r="E16" s="1">
        <f t="shared" si="9"/>
        <v>11.536897329871667</v>
      </c>
      <c r="F16" s="1">
        <f t="shared" si="1"/>
        <v>110</v>
      </c>
      <c r="H16" s="1">
        <v>9</v>
      </c>
      <c r="I16" s="1">
        <f t="shared" si="2"/>
        <v>198</v>
      </c>
      <c r="J16" s="1">
        <f t="shared" si="3"/>
        <v>16</v>
      </c>
      <c r="K16" s="1">
        <f t="shared" si="10"/>
        <v>194.870230663205</v>
      </c>
      <c r="L16" s="1">
        <f t="shared" si="11"/>
        <v>203.447258112148</v>
      </c>
      <c r="M16" s="1">
        <f t="shared" si="12"/>
        <v>150</v>
      </c>
      <c r="N16" s="1">
        <f t="shared" si="13"/>
        <v>160</v>
      </c>
      <c r="O16" s="1">
        <f t="shared" si="4"/>
        <v>153.64901401496704</v>
      </c>
      <c r="P16" s="1">
        <f t="shared" si="5"/>
        <v>198.03497631351308</v>
      </c>
      <c r="Q16" s="1">
        <f t="shared" si="15"/>
        <v>21.875016404484857</v>
      </c>
      <c r="R16" s="1">
        <f t="shared" si="14"/>
        <v>28.111472781860154</v>
      </c>
      <c r="U16" s="1">
        <f t="shared" si="6"/>
        <v>18.85393992995928</v>
      </c>
    </row>
    <row r="17" spans="1:21" ht="12.75">
      <c r="A17" s="1">
        <v>100</v>
      </c>
      <c r="B17" s="1">
        <f t="shared" si="0"/>
        <v>144.94547409454916</v>
      </c>
      <c r="C17" s="1">
        <f t="shared" si="7"/>
        <v>13.540258527134357</v>
      </c>
      <c r="D17" s="1">
        <f t="shared" si="8"/>
        <v>99.4989703498953</v>
      </c>
      <c r="E17" s="1">
        <f t="shared" si="9"/>
        <v>9.533536132608978</v>
      </c>
      <c r="F17" s="1">
        <f t="shared" si="1"/>
        <v>122.22222222222223</v>
      </c>
      <c r="H17" s="1">
        <v>10</v>
      </c>
      <c r="I17" s="1">
        <f t="shared" si="2"/>
        <v>220</v>
      </c>
      <c r="J17" s="1">
        <f t="shared" si="3"/>
        <v>19</v>
      </c>
      <c r="K17" s="1">
        <f t="shared" si="10"/>
        <v>220</v>
      </c>
      <c r="L17" s="1">
        <f t="shared" si="11"/>
        <v>228.21549982769685</v>
      </c>
      <c r="M17" s="1">
        <f t="shared" si="12"/>
        <v>180</v>
      </c>
      <c r="N17" s="1">
        <f t="shared" si="13"/>
        <v>190</v>
      </c>
      <c r="O17" s="1">
        <f t="shared" si="4"/>
        <v>180</v>
      </c>
      <c r="P17" s="1">
        <f t="shared" si="5"/>
        <v>220</v>
      </c>
      <c r="Q17" s="1">
        <f t="shared" si="15"/>
        <v>23.073794659743335</v>
      </c>
      <c r="R17" s="1">
        <f t="shared" si="14"/>
        <v>30.031411617036778</v>
      </c>
      <c r="U17" s="1">
        <f t="shared" si="6"/>
        <v>19.091182829755734</v>
      </c>
    </row>
    <row r="18" spans="1:21" ht="12.75">
      <c r="A18" s="1">
        <v>110</v>
      </c>
      <c r="B18" s="1">
        <f t="shared" si="0"/>
        <v>156.12671901973457</v>
      </c>
      <c r="C18" s="1">
        <f t="shared" si="7"/>
        <v>15.482748608167899</v>
      </c>
      <c r="D18" s="1">
        <f t="shared" si="8"/>
        <v>112.76216986915435</v>
      </c>
      <c r="E18" s="1">
        <f t="shared" si="9"/>
        <v>7.591046051575436</v>
      </c>
      <c r="F18" s="1">
        <f t="shared" si="1"/>
        <v>134.44444444444446</v>
      </c>
      <c r="H18" s="1">
        <v>11</v>
      </c>
      <c r="I18" s="1">
        <f t="shared" si="2"/>
        <v>242</v>
      </c>
      <c r="J18" s="1">
        <f t="shared" si="3"/>
        <v>21</v>
      </c>
      <c r="K18" s="1">
        <f t="shared" si="10"/>
        <v>236.552741887852</v>
      </c>
      <c r="L18" s="1">
        <f t="shared" si="11"/>
        <v>245.12976933679502</v>
      </c>
      <c r="M18" s="1">
        <f t="shared" si="12"/>
        <v>200</v>
      </c>
      <c r="N18" s="1">
        <f t="shared" si="13"/>
        <v>210</v>
      </c>
      <c r="O18" s="1">
        <f t="shared" si="4"/>
        <v>206.35098598503293</v>
      </c>
      <c r="P18" s="1">
        <f t="shared" si="5"/>
        <v>241.96502368648692</v>
      </c>
      <c r="Q18" s="1">
        <f t="shared" si="15"/>
        <v>21.87501640448486</v>
      </c>
      <c r="R18" s="1">
        <f t="shared" si="14"/>
        <v>29.553793941696448</v>
      </c>
      <c r="U18" s="1">
        <f t="shared" si="6"/>
        <v>19.328425729552187</v>
      </c>
    </row>
    <row r="19" spans="1:21" ht="12.75">
      <c r="A19" s="1">
        <v>120</v>
      </c>
      <c r="B19" s="1">
        <f t="shared" si="0"/>
        <v>166.6491590037101</v>
      </c>
      <c r="C19" s="1">
        <f t="shared" si="7"/>
        <v>17.3053459948075</v>
      </c>
      <c r="D19" s="1">
        <f t="shared" si="8"/>
        <v>126.68417432962323</v>
      </c>
      <c r="E19" s="1">
        <f t="shared" si="9"/>
        <v>5.768448664935836</v>
      </c>
      <c r="F19" s="1">
        <f t="shared" si="1"/>
        <v>146.66666666666666</v>
      </c>
      <c r="H19" s="1">
        <v>12</v>
      </c>
      <c r="I19" s="1">
        <f t="shared" si="2"/>
        <v>264</v>
      </c>
      <c r="J19" s="1">
        <f t="shared" si="3"/>
        <v>24</v>
      </c>
      <c r="K19" s="1">
        <f t="shared" si="10"/>
        <v>263.43555893034636</v>
      </c>
      <c r="L19" s="1">
        <f t="shared" si="11"/>
        <v>273.3508409962899</v>
      </c>
      <c r="M19" s="1">
        <f t="shared" si="12"/>
        <v>230</v>
      </c>
      <c r="N19" s="1">
        <f t="shared" si="13"/>
        <v>240</v>
      </c>
      <c r="O19" s="1">
        <f t="shared" si="4"/>
        <v>230.56926375457573</v>
      </c>
      <c r="P19" s="1">
        <f t="shared" si="5"/>
        <v>263.9848413209322</v>
      </c>
      <c r="Q19" s="1">
        <f t="shared" si="15"/>
        <v>18.864499450977878</v>
      </c>
      <c r="R19" s="1">
        <f t="shared" si="14"/>
        <v>27.266236575286005</v>
      </c>
      <c r="U19" s="1">
        <f t="shared" si="6"/>
        <v>19.56566862934864</v>
      </c>
    </row>
    <row r="20" spans="1:21" ht="12.75">
      <c r="A20" s="1">
        <v>130</v>
      </c>
      <c r="B20" s="1">
        <f t="shared" si="0"/>
        <v>176.5644410696536</v>
      </c>
      <c r="C20" s="1">
        <f t="shared" si="7"/>
        <v>18.952671987738892</v>
      </c>
      <c r="D20" s="1">
        <f t="shared" si="8"/>
        <v>141.2133367081242</v>
      </c>
      <c r="E20" s="1">
        <f t="shared" si="9"/>
        <v>4.12112267200444</v>
      </c>
      <c r="F20" s="1">
        <f t="shared" si="1"/>
        <v>158.88888888888889</v>
      </c>
      <c r="H20" s="1">
        <v>13</v>
      </c>
      <c r="I20" s="1">
        <f t="shared" si="2"/>
        <v>286</v>
      </c>
      <c r="J20" s="1">
        <f t="shared" si="3"/>
        <v>26</v>
      </c>
      <c r="K20" s="1">
        <f t="shared" si="10"/>
        <v>283.8732809802654</v>
      </c>
      <c r="L20" s="1">
        <f t="shared" si="11"/>
        <v>295.0545259054509</v>
      </c>
      <c r="M20" s="1">
        <f t="shared" si="12"/>
        <v>250</v>
      </c>
      <c r="N20" s="1">
        <f t="shared" si="13"/>
        <v>260</v>
      </c>
      <c r="O20" s="1">
        <f t="shared" si="4"/>
        <v>251.90204135046199</v>
      </c>
      <c r="P20" s="1">
        <f t="shared" si="5"/>
        <v>285.948012562352</v>
      </c>
      <c r="Q20" s="1">
        <f t="shared" si="15"/>
        <v>15.120748699179519</v>
      </c>
      <c r="R20" s="1">
        <f t="shared" si="14"/>
        <v>24.243585583514225</v>
      </c>
      <c r="U20" s="1">
        <f t="shared" si="6"/>
        <v>19.802911529145092</v>
      </c>
    </row>
    <row r="21" spans="1:21" ht="12.75">
      <c r="A21" s="1">
        <v>140</v>
      </c>
      <c r="B21" s="1">
        <f t="shared" si="0"/>
        <v>185.94266042684558</v>
      </c>
      <c r="C21" s="1">
        <f t="shared" si="7"/>
        <v>20.374673420254034</v>
      </c>
      <c r="D21" s="1">
        <f t="shared" si="8"/>
        <v>156.27956179537665</v>
      </c>
      <c r="E21" s="1">
        <f t="shared" si="9"/>
        <v>2.699121239489303</v>
      </c>
      <c r="F21" s="1">
        <f t="shared" si="1"/>
        <v>171.11111111111111</v>
      </c>
      <c r="H21" s="1">
        <v>14</v>
      </c>
      <c r="I21" s="1">
        <f t="shared" si="2"/>
        <v>308</v>
      </c>
      <c r="J21" s="1">
        <f t="shared" si="3"/>
        <v>28</v>
      </c>
      <c r="K21" s="1">
        <f t="shared" si="10"/>
        <v>306.9262053402567</v>
      </c>
      <c r="L21" s="1">
        <f t="shared" si="11"/>
        <v>319.49897034989533</v>
      </c>
      <c r="M21" s="1">
        <f t="shared" si="12"/>
        <v>270</v>
      </c>
      <c r="N21" s="1">
        <f t="shared" si="13"/>
        <v>280</v>
      </c>
      <c r="O21" s="1">
        <f t="shared" si="4"/>
        <v>270.8540640494912</v>
      </c>
      <c r="P21" s="1">
        <f t="shared" si="5"/>
        <v>307.97262480206797</v>
      </c>
      <c r="Q21" s="1">
        <f t="shared" si="15"/>
        <v>11.364932056891243</v>
      </c>
      <c r="R21" s="1">
        <f t="shared" si="14"/>
        <v>21.210885945877184</v>
      </c>
      <c r="U21" s="1">
        <f t="shared" si="6"/>
        <v>20.04015442894154</v>
      </c>
    </row>
    <row r="22" spans="1:21" ht="12.75">
      <c r="A22" s="1">
        <v>150</v>
      </c>
      <c r="B22" s="1">
        <f t="shared" si="0"/>
        <v>194.870230663205</v>
      </c>
      <c r="C22" s="1">
        <f t="shared" si="7"/>
        <v>21.528143498393394</v>
      </c>
      <c r="D22" s="1">
        <f t="shared" si="8"/>
        <v>171.79643600346168</v>
      </c>
      <c r="E22" s="1">
        <f t="shared" si="9"/>
        <v>1.545651161349944</v>
      </c>
      <c r="F22" s="1">
        <f t="shared" si="1"/>
        <v>183.33333333333334</v>
      </c>
      <c r="H22" s="1">
        <v>15</v>
      </c>
      <c r="I22" s="1">
        <f t="shared" si="2"/>
        <v>330</v>
      </c>
      <c r="J22" s="1">
        <f t="shared" si="3"/>
        <v>29</v>
      </c>
      <c r="K22" s="1">
        <f t="shared" si="10"/>
        <v>319.49897034989533</v>
      </c>
      <c r="L22" s="1">
        <f t="shared" si="11"/>
        <v>332.7621698691544</v>
      </c>
      <c r="M22" s="1">
        <f t="shared" si="12"/>
        <v>280</v>
      </c>
      <c r="N22" s="1">
        <f t="shared" si="13"/>
        <v>290</v>
      </c>
      <c r="O22" s="1">
        <f t="shared" si="4"/>
        <v>287.91741814247496</v>
      </c>
      <c r="P22" s="1">
        <f t="shared" si="5"/>
        <v>329.9443297191746</v>
      </c>
      <c r="Q22" s="1">
        <f t="shared" si="15"/>
        <v>7.987618259487653</v>
      </c>
      <c r="R22" s="1">
        <f t="shared" si="14"/>
        <v>18.55495208805267</v>
      </c>
      <c r="U22" s="1">
        <f t="shared" si="6"/>
        <v>20.277397328737994</v>
      </c>
    </row>
    <row r="23" spans="1:21" ht="12.75">
      <c r="A23" s="1">
        <v>160</v>
      </c>
      <c r="B23" s="1">
        <f t="shared" si="0"/>
        <v>203.447258112148</v>
      </c>
      <c r="C23" s="1">
        <f t="shared" si="7"/>
        <v>22.378034617516725</v>
      </c>
      <c r="D23" s="1">
        <f t="shared" si="8"/>
        <v>187.6638529989631</v>
      </c>
      <c r="E23" s="1">
        <f t="shared" si="9"/>
        <v>0.6957600422266125</v>
      </c>
      <c r="F23" s="1">
        <f t="shared" si="1"/>
        <v>195.55555555555554</v>
      </c>
      <c r="H23" s="1">
        <v>16</v>
      </c>
      <c r="I23" s="1">
        <f t="shared" si="2"/>
        <v>352</v>
      </c>
      <c r="J23" s="1">
        <f t="shared" si="3"/>
        <v>31</v>
      </c>
      <c r="K23" s="1">
        <f t="shared" si="10"/>
        <v>346.68417432962326</v>
      </c>
      <c r="L23" s="1">
        <f t="shared" si="11"/>
        <v>361.2133367081242</v>
      </c>
      <c r="M23" s="1">
        <f t="shared" si="12"/>
        <v>300</v>
      </c>
      <c r="N23" s="1">
        <f t="shared" si="13"/>
        <v>310</v>
      </c>
      <c r="O23" s="1">
        <f t="shared" si="4"/>
        <v>303.658728240413</v>
      </c>
      <c r="P23" s="1">
        <f t="shared" si="5"/>
        <v>351.9328901236656</v>
      </c>
      <c r="Q23" s="1">
        <f t="shared" si="15"/>
        <v>5.142629627433844</v>
      </c>
      <c r="R23" s="1">
        <f t="shared" si="14"/>
        <v>16.431896798716966</v>
      </c>
      <c r="U23" s="1">
        <f t="shared" si="6"/>
        <v>20.514640228534446</v>
      </c>
    </row>
    <row r="24" spans="1:21" ht="12.75">
      <c r="A24" s="1">
        <v>170</v>
      </c>
      <c r="B24" s="1">
        <f t="shared" si="0"/>
        <v>211.78450017230315</v>
      </c>
      <c r="C24" s="1">
        <f t="shared" si="7"/>
        <v>22.898523266035127</v>
      </c>
      <c r="D24" s="1">
        <f t="shared" si="8"/>
        <v>203.77105538325242</v>
      </c>
      <c r="E24" s="1">
        <f t="shared" si="9"/>
        <v>0.17527139370820818</v>
      </c>
      <c r="F24" s="1">
        <f t="shared" si="1"/>
        <v>207.77777777777777</v>
      </c>
      <c r="H24" s="1">
        <v>17</v>
      </c>
      <c r="I24" s="1">
        <f t="shared" si="2"/>
        <v>374</v>
      </c>
      <c r="J24" s="1">
        <f t="shared" si="3"/>
        <v>32</v>
      </c>
      <c r="K24" s="1">
        <f t="shared" si="10"/>
        <v>361.2133367081242</v>
      </c>
      <c r="L24" s="1">
        <f t="shared" si="11"/>
        <v>376.27956179537665</v>
      </c>
      <c r="M24" s="1">
        <f t="shared" si="12"/>
        <v>310</v>
      </c>
      <c r="N24" s="1">
        <f t="shared" si="13"/>
        <v>320</v>
      </c>
      <c r="O24" s="1">
        <f t="shared" si="4"/>
        <v>318.48697216311643</v>
      </c>
      <c r="P24" s="1">
        <f t="shared" si="5"/>
        <v>373.9687669439612</v>
      </c>
      <c r="Q24" s="1">
        <f t="shared" si="15"/>
        <v>2.8980105120021524</v>
      </c>
      <c r="R24" s="1">
        <f t="shared" si="14"/>
        <v>14.910764529170429</v>
      </c>
      <c r="U24" s="1">
        <f t="shared" si="6"/>
        <v>20.7518831283309</v>
      </c>
    </row>
    <row r="25" spans="1:21" ht="12.75">
      <c r="A25" s="1">
        <v>180</v>
      </c>
      <c r="B25" s="1">
        <f t="shared" si="0"/>
        <v>220</v>
      </c>
      <c r="C25" s="1">
        <f t="shared" si="7"/>
        <v>23.073794659743335</v>
      </c>
      <c r="D25" s="1">
        <f t="shared" si="8"/>
        <v>220.00000000000003</v>
      </c>
      <c r="E25" s="1">
        <f t="shared" si="9"/>
        <v>0</v>
      </c>
      <c r="F25" s="1">
        <f t="shared" si="1"/>
        <v>220</v>
      </c>
      <c r="H25" s="1">
        <v>18</v>
      </c>
      <c r="I25" s="1">
        <f t="shared" si="2"/>
        <v>396</v>
      </c>
      <c r="J25" s="1">
        <f t="shared" si="3"/>
        <v>34</v>
      </c>
      <c r="K25" s="1">
        <f t="shared" si="10"/>
        <v>391.7964360034616</v>
      </c>
      <c r="L25" s="1">
        <f t="shared" si="11"/>
        <v>407.6638529989631</v>
      </c>
      <c r="M25" s="1">
        <f t="shared" si="12"/>
        <v>330</v>
      </c>
      <c r="N25" s="1">
        <f t="shared" si="13"/>
        <v>340</v>
      </c>
      <c r="O25" s="1">
        <f t="shared" si="4"/>
        <v>332.6491797610979</v>
      </c>
      <c r="P25" s="1">
        <f t="shared" si="5"/>
        <v>395.97025178690444</v>
      </c>
      <c r="Q25" s="1">
        <f t="shared" si="15"/>
        <v>1.2897089455425146</v>
      </c>
      <c r="R25" s="1">
        <f t="shared" si="14"/>
        <v>14.024820643488457</v>
      </c>
      <c r="U25" s="1">
        <f t="shared" si="6"/>
        <v>20.98912602812735</v>
      </c>
    </row>
    <row r="26" spans="1:21" ht="12.75">
      <c r="A26" s="1">
        <v>190</v>
      </c>
      <c r="B26" s="1">
        <f t="shared" si="0"/>
        <v>228.21549982769685</v>
      </c>
      <c r="C26" s="1">
        <f t="shared" si="7"/>
        <v>22.898523266035127</v>
      </c>
      <c r="D26" s="1">
        <f t="shared" si="8"/>
        <v>236.2289446167476</v>
      </c>
      <c r="E26" s="1">
        <f t="shared" si="9"/>
        <v>0.17527139370820818</v>
      </c>
      <c r="F26" s="1">
        <f t="shared" si="1"/>
        <v>232.22222222222223</v>
      </c>
      <c r="H26" s="1">
        <v>19</v>
      </c>
      <c r="I26" s="1">
        <f t="shared" si="2"/>
        <v>418</v>
      </c>
      <c r="J26" s="1">
        <f t="shared" si="3"/>
        <v>35</v>
      </c>
      <c r="K26" s="1">
        <f t="shared" si="10"/>
        <v>407.6638529989631</v>
      </c>
      <c r="L26" s="1">
        <f t="shared" si="11"/>
        <v>423.7710553832524</v>
      </c>
      <c r="M26" s="1">
        <f t="shared" si="12"/>
        <v>340</v>
      </c>
      <c r="N26" s="1">
        <f t="shared" si="13"/>
        <v>350</v>
      </c>
      <c r="O26" s="1">
        <f t="shared" si="4"/>
        <v>346.41709637368103</v>
      </c>
      <c r="P26" s="1">
        <f t="shared" si="5"/>
        <v>417.97974465021963</v>
      </c>
      <c r="Q26" s="1">
        <f t="shared" si="15"/>
        <v>0.32267408666091746</v>
      </c>
      <c r="R26" s="1">
        <f t="shared" si="14"/>
        <v>13.780406386503934</v>
      </c>
      <c r="U26" s="1">
        <f t="shared" si="6"/>
        <v>21.226368927923804</v>
      </c>
    </row>
    <row r="27" spans="1:21" ht="12.75">
      <c r="A27" s="1">
        <v>200</v>
      </c>
      <c r="B27" s="1">
        <f t="shared" si="0"/>
        <v>236.552741887852</v>
      </c>
      <c r="C27" s="1">
        <f t="shared" si="7"/>
        <v>22.378034617516725</v>
      </c>
      <c r="D27" s="1">
        <f t="shared" si="8"/>
        <v>252.33614700103692</v>
      </c>
      <c r="E27" s="1">
        <f t="shared" si="9"/>
        <v>0.6957600422266111</v>
      </c>
      <c r="F27" s="1">
        <f t="shared" si="1"/>
        <v>244.44444444444446</v>
      </c>
      <c r="H27" s="1">
        <v>20</v>
      </c>
      <c r="I27" s="1">
        <f t="shared" si="2"/>
        <v>440</v>
      </c>
      <c r="J27" s="1">
        <f t="shared" si="3"/>
        <v>37</v>
      </c>
      <c r="K27" s="1">
        <f t="shared" si="10"/>
        <v>440</v>
      </c>
      <c r="L27" s="1">
        <f>IF(K27&lt;LBP,INDEX(x_array_hogging,J27+1),K27)</f>
        <v>440</v>
      </c>
      <c r="M27" s="1">
        <f t="shared" si="12"/>
        <v>360</v>
      </c>
      <c r="N27" s="1">
        <f t="shared" si="13"/>
        <v>360</v>
      </c>
      <c r="O27" s="1">
        <f>IF(K27&lt;LBP,(I27-K27)/(L27-K27)*(N27-M27)+M27,M27)</f>
        <v>360</v>
      </c>
      <c r="P27" s="1">
        <f t="shared" si="5"/>
        <v>440</v>
      </c>
      <c r="Q27" s="1">
        <f t="shared" si="15"/>
        <v>0</v>
      </c>
      <c r="R27" s="1">
        <f t="shared" si="14"/>
        <v>14.180706258107527</v>
      </c>
      <c r="U27" s="1">
        <f t="shared" si="6"/>
        <v>21.463611827720257</v>
      </c>
    </row>
    <row r="28" spans="1:6" ht="12.75">
      <c r="A28" s="1">
        <v>210</v>
      </c>
      <c r="B28" s="1">
        <f t="shared" si="0"/>
        <v>245.12976933679502</v>
      </c>
      <c r="C28" s="1">
        <f t="shared" si="7"/>
        <v>21.52814349839339</v>
      </c>
      <c r="D28" s="1">
        <f t="shared" si="8"/>
        <v>268.2035639965384</v>
      </c>
      <c r="E28" s="1">
        <f t="shared" si="9"/>
        <v>1.545651161349945</v>
      </c>
      <c r="F28" s="1">
        <f t="shared" si="1"/>
        <v>256.6666666666667</v>
      </c>
    </row>
    <row r="29" spans="1:6" ht="12.75">
      <c r="A29" s="1">
        <v>220</v>
      </c>
      <c r="B29" s="1">
        <f t="shared" si="0"/>
        <v>254.05733957315445</v>
      </c>
      <c r="C29" s="1">
        <f t="shared" si="7"/>
        <v>20.374673420254034</v>
      </c>
      <c r="D29" s="1">
        <f t="shared" si="8"/>
        <v>283.72043820462335</v>
      </c>
      <c r="E29" s="1">
        <f t="shared" si="9"/>
        <v>2.6991212394893016</v>
      </c>
      <c r="F29" s="1">
        <f t="shared" si="1"/>
        <v>268.8888888888889</v>
      </c>
    </row>
    <row r="30" spans="1:18" ht="12.75">
      <c r="A30" s="1">
        <v>230</v>
      </c>
      <c r="B30" s="1">
        <f t="shared" si="0"/>
        <v>263.43555893034636</v>
      </c>
      <c r="C30" s="1">
        <f t="shared" si="7"/>
        <v>18.952671987738896</v>
      </c>
      <c r="D30" s="1">
        <f t="shared" si="8"/>
        <v>298.78666329187587</v>
      </c>
      <c r="E30" s="1">
        <f t="shared" si="9"/>
        <v>4.1211226720044385</v>
      </c>
      <c r="F30" s="1">
        <f t="shared" si="1"/>
        <v>281.1111111111111</v>
      </c>
      <c r="H30" s="18" t="s">
        <v>89</v>
      </c>
      <c r="Q30" s="1" t="s">
        <v>15</v>
      </c>
      <c r="R30" s="1">
        <f>mean_draft_sagging</f>
        <v>22.264593541304475</v>
      </c>
    </row>
    <row r="31" spans="1:18" ht="12.75">
      <c r="A31" s="1">
        <v>240</v>
      </c>
      <c r="B31" s="1">
        <f t="shared" si="0"/>
        <v>273.3508409962899</v>
      </c>
      <c r="C31" s="1">
        <f t="shared" si="7"/>
        <v>17.305345994807507</v>
      </c>
      <c r="D31" s="1">
        <f t="shared" si="8"/>
        <v>313.3158256703768</v>
      </c>
      <c r="E31" s="1">
        <f t="shared" si="9"/>
        <v>5.768448664935828</v>
      </c>
      <c r="F31" s="1">
        <f t="shared" si="1"/>
        <v>293.3333333333333</v>
      </c>
      <c r="H31" s="1" t="s">
        <v>57</v>
      </c>
      <c r="Q31" s="1" t="s">
        <v>16</v>
      </c>
      <c r="R31" s="1">
        <f>trim_angle_sagging</f>
        <v>-0.1689596773334614</v>
      </c>
    </row>
    <row r="32" spans="1:18" ht="12.75">
      <c r="A32" s="1">
        <v>250</v>
      </c>
      <c r="B32" s="1">
        <f t="shared" si="0"/>
        <v>283.8732809802654</v>
      </c>
      <c r="C32" s="1">
        <f t="shared" si="7"/>
        <v>15.482748608167897</v>
      </c>
      <c r="D32" s="1">
        <f t="shared" si="8"/>
        <v>327.23783013084574</v>
      </c>
      <c r="E32" s="1">
        <f t="shared" si="9"/>
        <v>7.591046051575437</v>
      </c>
      <c r="F32" s="1">
        <f t="shared" si="1"/>
        <v>305.55555555555554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 t="s">
        <v>14</v>
      </c>
      <c r="P32" s="1" t="s">
        <v>45</v>
      </c>
      <c r="Q32" s="1" t="s">
        <v>60</v>
      </c>
      <c r="R32" s="1" t="s">
        <v>19</v>
      </c>
    </row>
    <row r="33" spans="1:18" ht="12.75">
      <c r="A33" s="1">
        <v>260</v>
      </c>
      <c r="B33" s="1">
        <f t="shared" si="0"/>
        <v>295.0545259054509</v>
      </c>
      <c r="C33" s="1">
        <f t="shared" si="7"/>
        <v>13.540258527134357</v>
      </c>
      <c r="D33" s="1">
        <f t="shared" si="8"/>
        <v>340.5010296501047</v>
      </c>
      <c r="E33" s="1">
        <f t="shared" si="9"/>
        <v>9.533536132608978</v>
      </c>
      <c r="F33" s="1">
        <f t="shared" si="1"/>
        <v>317.77777777777777</v>
      </c>
      <c r="H33" s="1">
        <v>0</v>
      </c>
      <c r="I33" s="1">
        <f aca="true" t="shared" si="16" ref="I33:I53">H33*LBP/(number_of_stations-1)</f>
        <v>0</v>
      </c>
      <c r="J33" s="1">
        <f>MATCH(I33,x_array_sagging)</f>
        <v>1</v>
      </c>
      <c r="K33" s="1">
        <f>INDEX(x_array_sagging,J33)</f>
        <v>0</v>
      </c>
      <c r="L33" s="1">
        <f aca="true" t="shared" si="17" ref="L33:L52">IF(I33&lt;LBP,INDEX(x_array_sagging,J33+1),K33)</f>
        <v>8.215499827696846</v>
      </c>
      <c r="M33" s="1">
        <f>INDEX(phi_array,J33)</f>
        <v>0</v>
      </c>
      <c r="N33" s="1">
        <f aca="true" t="shared" si="18" ref="N33:N53">IF(K33&lt;LBP,INDEX(phi_array,J33+1),M33)</f>
        <v>10</v>
      </c>
      <c r="O33" s="1">
        <f aca="true" t="shared" si="19" ref="O33:O52">IF(I33&lt;LBP,(I33-K33)/(L33-K33)*(N33-M33)+M33,M33)</f>
        <v>0</v>
      </c>
      <c r="P33" s="1">
        <f>LBP/360*O33-htwave*SIN(RADIANS(O33))</f>
        <v>0</v>
      </c>
      <c r="Q33" s="1">
        <f>htwave*(1+COS(RADIANS(O33)))/2</f>
        <v>23.073794659743335</v>
      </c>
      <c r="R33" s="1">
        <f>(Q33-htwave/2)+mean_draft_sagging+(LBP/2-P33)*TAN(RADIANS(trim_angle_sagging))</f>
        <v>33.15273040266212</v>
      </c>
    </row>
    <row r="34" spans="1:18" ht="12.75">
      <c r="A34" s="1">
        <v>270</v>
      </c>
      <c r="B34" s="1">
        <f t="shared" si="0"/>
        <v>306.9262053402567</v>
      </c>
      <c r="C34" s="1">
        <f t="shared" si="7"/>
        <v>11.53689732987167</v>
      </c>
      <c r="D34" s="1">
        <f t="shared" si="8"/>
        <v>353.0737946597433</v>
      </c>
      <c r="E34" s="1">
        <f t="shared" si="9"/>
        <v>11.536897329871666</v>
      </c>
      <c r="F34" s="1">
        <f t="shared" si="1"/>
        <v>330</v>
      </c>
      <c r="H34" s="1">
        <v>1</v>
      </c>
      <c r="I34" s="1">
        <f t="shared" si="16"/>
        <v>22</v>
      </c>
      <c r="J34" s="1">
        <f aca="true" t="shared" si="20" ref="J34:J53">MATCH(I34,x_array_sagging)</f>
        <v>3</v>
      </c>
      <c r="K34" s="1">
        <f aca="true" t="shared" si="21" ref="K34:K53">INDEX(x_array_sagging,J34)</f>
        <v>16.55274188785198</v>
      </c>
      <c r="L34" s="1">
        <f t="shared" si="17"/>
        <v>25.129769336795007</v>
      </c>
      <c r="M34" s="1">
        <f aca="true" t="shared" si="22" ref="M34:M53">INDEX(phi_array,J34)</f>
        <v>20</v>
      </c>
      <c r="N34" s="1">
        <f t="shared" si="18"/>
        <v>30</v>
      </c>
      <c r="O34" s="1">
        <f t="shared" si="19"/>
        <v>26.350985985032963</v>
      </c>
      <c r="P34" s="1">
        <f aca="true" t="shared" si="23" ref="P34:P53">LBP/360*O34-htwave*SIN(RADIANS(O34))</f>
        <v>21.965023686486944</v>
      </c>
      <c r="Q34" s="1">
        <f aca="true" t="shared" si="24" ref="Q34:Q53">htwave*(1+COS(RADIANS(O34)))/2</f>
        <v>21.875016404484857</v>
      </c>
      <c r="R34" s="1">
        <f aca="true" t="shared" si="25" ref="R34:R53">(Q34-htwave/2)+mean_draft_sagging+(LBP/2-P34)*TAN(RADIANS(trim_angle_sagging))</f>
        <v>32.01872505221168</v>
      </c>
    </row>
    <row r="35" spans="1:18" ht="12.75">
      <c r="A35" s="1">
        <v>280</v>
      </c>
      <c r="B35" s="1">
        <f t="shared" si="0"/>
        <v>319.49897034989533</v>
      </c>
      <c r="C35" s="1">
        <f t="shared" si="7"/>
        <v>9.533536132608981</v>
      </c>
      <c r="D35" s="1">
        <f t="shared" si="8"/>
        <v>364.9454740945491</v>
      </c>
      <c r="E35" s="1">
        <f t="shared" si="9"/>
        <v>13.540258527134354</v>
      </c>
      <c r="F35" s="1">
        <f t="shared" si="1"/>
        <v>342.22222222222223</v>
      </c>
      <c r="H35" s="1">
        <v>2</v>
      </c>
      <c r="I35" s="1">
        <f t="shared" si="16"/>
        <v>44</v>
      </c>
      <c r="J35" s="1">
        <f t="shared" si="20"/>
        <v>6</v>
      </c>
      <c r="K35" s="1">
        <f t="shared" si="21"/>
        <v>43.43555893034638</v>
      </c>
      <c r="L35" s="1">
        <f t="shared" si="17"/>
        <v>53.3508409962899</v>
      </c>
      <c r="M35" s="1">
        <f t="shared" si="22"/>
        <v>50</v>
      </c>
      <c r="N35" s="1">
        <f t="shared" si="18"/>
        <v>60</v>
      </c>
      <c r="O35" s="1">
        <f t="shared" si="19"/>
        <v>50.56926375457571</v>
      </c>
      <c r="P35" s="1">
        <f t="shared" si="23"/>
        <v>43.98484132093221</v>
      </c>
      <c r="Q35" s="1">
        <f t="shared" si="24"/>
        <v>18.86449945097788</v>
      </c>
      <c r="R35" s="1">
        <f t="shared" si="25"/>
        <v>29.07314258600068</v>
      </c>
    </row>
    <row r="36" spans="1:18" ht="12.75">
      <c r="A36" s="1">
        <v>290</v>
      </c>
      <c r="B36" s="1">
        <f t="shared" si="0"/>
        <v>332.7621698691544</v>
      </c>
      <c r="C36" s="1">
        <f t="shared" si="7"/>
        <v>7.591046051575432</v>
      </c>
      <c r="D36" s="1">
        <f t="shared" si="8"/>
        <v>376.12671901973454</v>
      </c>
      <c r="E36" s="1">
        <f t="shared" si="9"/>
        <v>15.482748608167903</v>
      </c>
      <c r="F36" s="1">
        <f t="shared" si="1"/>
        <v>354.44444444444446</v>
      </c>
      <c r="H36" s="1">
        <v>3</v>
      </c>
      <c r="I36" s="1">
        <f t="shared" si="16"/>
        <v>66</v>
      </c>
      <c r="J36" s="1">
        <f t="shared" si="20"/>
        <v>8</v>
      </c>
      <c r="K36" s="1">
        <f t="shared" si="21"/>
        <v>63.87328098026545</v>
      </c>
      <c r="L36" s="1">
        <f t="shared" si="17"/>
        <v>75.05452590545087</v>
      </c>
      <c r="M36" s="1">
        <f t="shared" si="22"/>
        <v>70</v>
      </c>
      <c r="N36" s="1">
        <f t="shared" si="18"/>
        <v>80</v>
      </c>
      <c r="O36" s="1">
        <f t="shared" si="19"/>
        <v>71.90204135046196</v>
      </c>
      <c r="P36" s="1">
        <f t="shared" si="23"/>
        <v>65.94801256235198</v>
      </c>
      <c r="Q36" s="1">
        <f t="shared" si="24"/>
        <v>15.120748699179519</v>
      </c>
      <c r="R36" s="1">
        <f t="shared" si="25"/>
        <v>25.39415927631431</v>
      </c>
    </row>
    <row r="37" spans="1:18" ht="12.75">
      <c r="A37" s="1">
        <v>300</v>
      </c>
      <c r="B37" s="1">
        <f t="shared" si="0"/>
        <v>346.68417432962326</v>
      </c>
      <c r="C37" s="1">
        <f t="shared" si="7"/>
        <v>5.768448664935833</v>
      </c>
      <c r="D37" s="1">
        <f t="shared" si="8"/>
        <v>386.6491590037101</v>
      </c>
      <c r="E37" s="1">
        <f t="shared" si="9"/>
        <v>17.305345994807503</v>
      </c>
      <c r="F37" s="1">
        <f t="shared" si="1"/>
        <v>366.6666666666667</v>
      </c>
      <c r="H37" s="1">
        <v>4</v>
      </c>
      <c r="I37" s="1">
        <f t="shared" si="16"/>
        <v>88</v>
      </c>
      <c r="J37" s="1">
        <f t="shared" si="20"/>
        <v>10</v>
      </c>
      <c r="K37" s="1">
        <f t="shared" si="21"/>
        <v>86.92620534025667</v>
      </c>
      <c r="L37" s="1">
        <f t="shared" si="17"/>
        <v>99.4989703498953</v>
      </c>
      <c r="M37" s="1">
        <f t="shared" si="22"/>
        <v>90</v>
      </c>
      <c r="N37" s="1">
        <f t="shared" si="18"/>
        <v>100</v>
      </c>
      <c r="O37" s="1">
        <f t="shared" si="19"/>
        <v>90.8540640494912</v>
      </c>
      <c r="P37" s="1">
        <f t="shared" si="23"/>
        <v>87.97262480206797</v>
      </c>
      <c r="Q37" s="1">
        <f t="shared" si="24"/>
        <v>11.364932056891252</v>
      </c>
      <c r="R37" s="1">
        <f t="shared" si="25"/>
        <v>21.703291260187303</v>
      </c>
    </row>
    <row r="38" spans="1:18" ht="12.75">
      <c r="A38" s="1">
        <v>310</v>
      </c>
      <c r="B38" s="1">
        <f t="shared" si="0"/>
        <v>361.2133367081242</v>
      </c>
      <c r="C38" s="1">
        <f t="shared" si="7"/>
        <v>4.121122672004441</v>
      </c>
      <c r="D38" s="1">
        <f t="shared" si="8"/>
        <v>396.56444106965364</v>
      </c>
      <c r="E38" s="1">
        <f t="shared" si="9"/>
        <v>18.952671987738892</v>
      </c>
      <c r="F38" s="1">
        <f t="shared" si="1"/>
        <v>378.8888888888889</v>
      </c>
      <c r="H38" s="1">
        <v>5</v>
      </c>
      <c r="I38" s="1">
        <f t="shared" si="16"/>
        <v>110</v>
      </c>
      <c r="J38" s="1">
        <f t="shared" si="20"/>
        <v>11</v>
      </c>
      <c r="K38" s="1">
        <f t="shared" si="21"/>
        <v>99.4989703498953</v>
      </c>
      <c r="L38" s="1">
        <f t="shared" si="17"/>
        <v>112.76216986915435</v>
      </c>
      <c r="M38" s="1">
        <f t="shared" si="22"/>
        <v>100</v>
      </c>
      <c r="N38" s="1">
        <f t="shared" si="18"/>
        <v>110</v>
      </c>
      <c r="O38" s="1">
        <f t="shared" si="19"/>
        <v>107.91741814247497</v>
      </c>
      <c r="P38" s="1">
        <f t="shared" si="23"/>
        <v>109.94432971917459</v>
      </c>
      <c r="Q38" s="1">
        <f t="shared" si="24"/>
        <v>7.987618259487654</v>
      </c>
      <c r="R38" s="1">
        <f t="shared" si="25"/>
        <v>18.390770069947678</v>
      </c>
    </row>
    <row r="39" spans="1:18" ht="12.75">
      <c r="A39" s="1">
        <v>320</v>
      </c>
      <c r="B39" s="1">
        <f t="shared" si="0"/>
        <v>376.27956179537665</v>
      </c>
      <c r="C39" s="1">
        <f t="shared" si="7"/>
        <v>2.6991212394893043</v>
      </c>
      <c r="D39" s="1">
        <f t="shared" si="8"/>
        <v>405.9426604268456</v>
      </c>
      <c r="E39" s="1">
        <f t="shared" si="9"/>
        <v>20.374673420254034</v>
      </c>
      <c r="F39" s="1">
        <f t="shared" si="1"/>
        <v>391.1111111111111</v>
      </c>
      <c r="H39" s="1">
        <v>6</v>
      </c>
      <c r="I39" s="1">
        <f t="shared" si="16"/>
        <v>132</v>
      </c>
      <c r="J39" s="1">
        <f t="shared" si="20"/>
        <v>13</v>
      </c>
      <c r="K39" s="1">
        <f t="shared" si="21"/>
        <v>126.68417432962323</v>
      </c>
      <c r="L39" s="1">
        <f t="shared" si="17"/>
        <v>141.2133367081242</v>
      </c>
      <c r="M39" s="1">
        <f t="shared" si="22"/>
        <v>120</v>
      </c>
      <c r="N39" s="1">
        <f t="shared" si="18"/>
        <v>130</v>
      </c>
      <c r="O39" s="1">
        <f t="shared" si="19"/>
        <v>123.65872824041301</v>
      </c>
      <c r="P39" s="1">
        <f t="shared" si="23"/>
        <v>131.9328901236657</v>
      </c>
      <c r="Q39" s="1">
        <f t="shared" si="24"/>
        <v>5.142629627433839</v>
      </c>
      <c r="R39" s="1">
        <f t="shared" si="25"/>
        <v>15.610623750393708</v>
      </c>
    </row>
    <row r="40" spans="1:18" ht="12.75">
      <c r="A40" s="1">
        <v>330</v>
      </c>
      <c r="B40" s="1">
        <f t="shared" si="0"/>
        <v>391.7964360034616</v>
      </c>
      <c r="C40" s="1">
        <f t="shared" si="7"/>
        <v>1.5456511613499477</v>
      </c>
      <c r="D40" s="1">
        <f t="shared" si="8"/>
        <v>414.87023066320506</v>
      </c>
      <c r="E40" s="1">
        <f t="shared" si="9"/>
        <v>21.528143498393387</v>
      </c>
      <c r="F40" s="1">
        <f t="shared" si="1"/>
        <v>403.3333333333333</v>
      </c>
      <c r="H40" s="1">
        <v>7</v>
      </c>
      <c r="I40" s="1">
        <f t="shared" si="16"/>
        <v>154</v>
      </c>
      <c r="J40" s="1">
        <f t="shared" si="20"/>
        <v>14</v>
      </c>
      <c r="K40" s="1">
        <f t="shared" si="21"/>
        <v>141.2133367081242</v>
      </c>
      <c r="L40" s="1">
        <f t="shared" si="17"/>
        <v>156.27956179537665</v>
      </c>
      <c r="M40" s="1">
        <f t="shared" si="22"/>
        <v>130</v>
      </c>
      <c r="N40" s="1">
        <f t="shared" si="18"/>
        <v>140</v>
      </c>
      <c r="O40" s="1">
        <f t="shared" si="19"/>
        <v>138.48697216311643</v>
      </c>
      <c r="P40" s="1">
        <f t="shared" si="23"/>
        <v>153.96876694396127</v>
      </c>
      <c r="Q40" s="1">
        <f t="shared" si="24"/>
        <v>2.898010512002151</v>
      </c>
      <c r="R40" s="1">
        <f t="shared" si="25"/>
        <v>13.43098647937135</v>
      </c>
    </row>
    <row r="41" spans="1:18" ht="12.75">
      <c r="A41" s="1">
        <v>340</v>
      </c>
      <c r="B41" s="1">
        <f t="shared" si="0"/>
        <v>407.6638529989631</v>
      </c>
      <c r="C41" s="1">
        <f t="shared" si="7"/>
        <v>0.6957600422266111</v>
      </c>
      <c r="D41" s="1">
        <f t="shared" si="8"/>
        <v>423.44725811214806</v>
      </c>
      <c r="E41" s="1">
        <f t="shared" si="9"/>
        <v>22.378034617516725</v>
      </c>
      <c r="F41" s="1">
        <f t="shared" si="1"/>
        <v>415.55555555555554</v>
      </c>
      <c r="H41" s="1">
        <v>8</v>
      </c>
      <c r="I41" s="1">
        <f t="shared" si="16"/>
        <v>176</v>
      </c>
      <c r="J41" s="1">
        <f t="shared" si="20"/>
        <v>16</v>
      </c>
      <c r="K41" s="1">
        <f t="shared" si="21"/>
        <v>171.79643600346168</v>
      </c>
      <c r="L41" s="1">
        <f t="shared" si="17"/>
        <v>187.6638529989631</v>
      </c>
      <c r="M41" s="1">
        <f t="shared" si="22"/>
        <v>150</v>
      </c>
      <c r="N41" s="1">
        <f t="shared" si="18"/>
        <v>160</v>
      </c>
      <c r="O41" s="1">
        <f t="shared" si="19"/>
        <v>152.6491797610979</v>
      </c>
      <c r="P41" s="1">
        <f t="shared" si="23"/>
        <v>175.97025178690444</v>
      </c>
      <c r="Q41" s="1">
        <f t="shared" si="24"/>
        <v>1.289708945542517</v>
      </c>
      <c r="R41" s="1">
        <f t="shared" si="25"/>
        <v>11.887565338433133</v>
      </c>
    </row>
    <row r="42" spans="1:18" ht="12.75">
      <c r="A42" s="1">
        <v>350</v>
      </c>
      <c r="B42" s="1">
        <f t="shared" si="0"/>
        <v>423.7710553832524</v>
      </c>
      <c r="C42" s="1">
        <f t="shared" si="7"/>
        <v>0.17527139370820818</v>
      </c>
      <c r="D42" s="1">
        <f t="shared" si="8"/>
        <v>431.7845001723032</v>
      </c>
      <c r="E42" s="1">
        <f t="shared" si="9"/>
        <v>22.898523266035127</v>
      </c>
      <c r="F42" s="1">
        <f t="shared" si="1"/>
        <v>427.77777777777777</v>
      </c>
      <c r="H42" s="1">
        <v>9</v>
      </c>
      <c r="I42" s="1">
        <f t="shared" si="16"/>
        <v>198</v>
      </c>
      <c r="J42" s="1">
        <f t="shared" si="20"/>
        <v>17</v>
      </c>
      <c r="K42" s="1">
        <f t="shared" si="21"/>
        <v>187.6638529989631</v>
      </c>
      <c r="L42" s="1">
        <f t="shared" si="17"/>
        <v>203.77105538325242</v>
      </c>
      <c r="M42" s="1">
        <f t="shared" si="22"/>
        <v>160</v>
      </c>
      <c r="N42" s="1">
        <f t="shared" si="18"/>
        <v>170</v>
      </c>
      <c r="O42" s="1">
        <f t="shared" si="19"/>
        <v>166.417096373681</v>
      </c>
      <c r="P42" s="1">
        <f t="shared" si="23"/>
        <v>197.97974465021957</v>
      </c>
      <c r="Q42" s="1">
        <f t="shared" si="24"/>
        <v>0.32267408666091746</v>
      </c>
      <c r="R42" s="1">
        <f t="shared" si="25"/>
        <v>10.98543452001408</v>
      </c>
    </row>
    <row r="43" spans="1:18" ht="12.75">
      <c r="A43" s="1">
        <v>360</v>
      </c>
      <c r="B43" s="1">
        <f t="shared" si="0"/>
        <v>440</v>
      </c>
      <c r="C43" s="1">
        <f t="shared" si="7"/>
        <v>0</v>
      </c>
      <c r="D43" s="1">
        <f t="shared" si="8"/>
        <v>440.00000000000006</v>
      </c>
      <c r="E43" s="1">
        <f t="shared" si="9"/>
        <v>23.073794659743335</v>
      </c>
      <c r="F43" s="1">
        <f t="shared" si="1"/>
        <v>440</v>
      </c>
      <c r="H43" s="1">
        <v>10</v>
      </c>
      <c r="I43" s="1">
        <f t="shared" si="16"/>
        <v>220</v>
      </c>
      <c r="J43" s="1">
        <f t="shared" si="20"/>
        <v>18</v>
      </c>
      <c r="K43" s="1">
        <f t="shared" si="21"/>
        <v>203.77105538325242</v>
      </c>
      <c r="L43" s="1">
        <f t="shared" si="17"/>
        <v>220.00000000000003</v>
      </c>
      <c r="M43" s="1">
        <f t="shared" si="22"/>
        <v>170</v>
      </c>
      <c r="N43" s="1">
        <f t="shared" si="18"/>
        <v>180</v>
      </c>
      <c r="O43" s="1">
        <f t="shared" si="19"/>
        <v>179.99999999999997</v>
      </c>
      <c r="P43" s="1">
        <f t="shared" si="23"/>
        <v>219.99999999999997</v>
      </c>
      <c r="Q43" s="1">
        <f t="shared" si="24"/>
        <v>0</v>
      </c>
      <c r="R43" s="1">
        <f t="shared" si="25"/>
        <v>10.727696211432807</v>
      </c>
    </row>
    <row r="44" spans="8:18" ht="12.75">
      <c r="H44" s="1">
        <v>11</v>
      </c>
      <c r="I44" s="1">
        <f t="shared" si="16"/>
        <v>242</v>
      </c>
      <c r="J44" s="1">
        <f t="shared" si="20"/>
        <v>20</v>
      </c>
      <c r="K44" s="1">
        <f t="shared" si="21"/>
        <v>236.2289446167476</v>
      </c>
      <c r="L44" s="1">
        <f t="shared" si="17"/>
        <v>252.33614700103692</v>
      </c>
      <c r="M44" s="1">
        <f t="shared" si="22"/>
        <v>190</v>
      </c>
      <c r="N44" s="1">
        <f t="shared" si="18"/>
        <v>200</v>
      </c>
      <c r="O44" s="1">
        <f t="shared" si="19"/>
        <v>193.58290362631897</v>
      </c>
      <c r="P44" s="1">
        <f t="shared" si="23"/>
        <v>242.02025534978043</v>
      </c>
      <c r="Q44" s="1">
        <f t="shared" si="24"/>
        <v>0.3226740866609162</v>
      </c>
      <c r="R44" s="1">
        <f t="shared" si="25"/>
        <v>11.115306076173368</v>
      </c>
    </row>
    <row r="45" spans="8:18" ht="12.75">
      <c r="H45" s="1">
        <v>12</v>
      </c>
      <c r="I45" s="1">
        <f t="shared" si="16"/>
        <v>264</v>
      </c>
      <c r="J45" s="1">
        <f t="shared" si="20"/>
        <v>21</v>
      </c>
      <c r="K45" s="1">
        <f t="shared" si="21"/>
        <v>252.33614700103692</v>
      </c>
      <c r="L45" s="1">
        <f t="shared" si="17"/>
        <v>268.2035639965384</v>
      </c>
      <c r="M45" s="1">
        <f t="shared" si="22"/>
        <v>200</v>
      </c>
      <c r="N45" s="1">
        <f t="shared" si="18"/>
        <v>210</v>
      </c>
      <c r="O45" s="1">
        <f t="shared" si="19"/>
        <v>207.35082023890206</v>
      </c>
      <c r="P45" s="1">
        <f t="shared" si="23"/>
        <v>264.02974821309556</v>
      </c>
      <c r="Q45" s="1">
        <f t="shared" si="24"/>
        <v>1.2897089455425133</v>
      </c>
      <c r="R45" s="1">
        <f t="shared" si="25"/>
        <v>12.147244975517511</v>
      </c>
    </row>
    <row r="46" spans="8:18" ht="12.75">
      <c r="H46" s="1">
        <v>13</v>
      </c>
      <c r="I46" s="1">
        <f t="shared" si="16"/>
        <v>286</v>
      </c>
      <c r="J46" s="1">
        <f t="shared" si="20"/>
        <v>23</v>
      </c>
      <c r="K46" s="1">
        <f t="shared" si="21"/>
        <v>283.72043820462335</v>
      </c>
      <c r="L46" s="1">
        <f t="shared" si="17"/>
        <v>298.78666329187587</v>
      </c>
      <c r="M46" s="1">
        <f t="shared" si="22"/>
        <v>220</v>
      </c>
      <c r="N46" s="1">
        <f t="shared" si="18"/>
        <v>230</v>
      </c>
      <c r="O46" s="1">
        <f t="shared" si="19"/>
        <v>221.51302783688357</v>
      </c>
      <c r="P46" s="1">
        <f t="shared" si="23"/>
        <v>286.0312330560388</v>
      </c>
      <c r="Q46" s="1">
        <f t="shared" si="24"/>
        <v>2.8980105120021498</v>
      </c>
      <c r="R46" s="1">
        <f t="shared" si="25"/>
        <v>13.820426967498566</v>
      </c>
    </row>
    <row r="47" spans="8:18" ht="12.75">
      <c r="H47" s="1">
        <v>14</v>
      </c>
      <c r="I47" s="1">
        <f t="shared" si="16"/>
        <v>308</v>
      </c>
      <c r="J47" s="1">
        <f t="shared" si="20"/>
        <v>24</v>
      </c>
      <c r="K47" s="1">
        <f t="shared" si="21"/>
        <v>298.78666329187587</v>
      </c>
      <c r="L47" s="1">
        <f t="shared" si="17"/>
        <v>313.3158256703768</v>
      </c>
      <c r="M47" s="1">
        <f t="shared" si="22"/>
        <v>230</v>
      </c>
      <c r="N47" s="1">
        <f t="shared" si="18"/>
        <v>240</v>
      </c>
      <c r="O47" s="1">
        <f t="shared" si="19"/>
        <v>236.34127175958696</v>
      </c>
      <c r="P47" s="1">
        <f t="shared" si="23"/>
        <v>308.06710987633437</v>
      </c>
      <c r="Q47" s="1">
        <f t="shared" si="24"/>
        <v>5.142629627433832</v>
      </c>
      <c r="R47" s="1">
        <f t="shared" si="25"/>
        <v>16.130027927339576</v>
      </c>
    </row>
    <row r="48" spans="8:18" ht="12.75">
      <c r="H48" s="1">
        <v>15</v>
      </c>
      <c r="I48" s="1">
        <f t="shared" si="16"/>
        <v>330</v>
      </c>
      <c r="J48" s="1">
        <f t="shared" si="20"/>
        <v>26</v>
      </c>
      <c r="K48" s="1">
        <f t="shared" si="21"/>
        <v>327.23783013084574</v>
      </c>
      <c r="L48" s="1">
        <f t="shared" si="17"/>
        <v>340.5010296501047</v>
      </c>
      <c r="M48" s="1">
        <f t="shared" si="22"/>
        <v>250</v>
      </c>
      <c r="N48" s="1">
        <f t="shared" si="18"/>
        <v>260</v>
      </c>
      <c r="O48" s="1">
        <f t="shared" si="19"/>
        <v>252.08258185752496</v>
      </c>
      <c r="P48" s="1">
        <f t="shared" si="23"/>
        <v>330.0556702808253</v>
      </c>
      <c r="Q48" s="1">
        <f t="shared" si="24"/>
        <v>7.98761825948764</v>
      </c>
      <c r="R48" s="1">
        <f t="shared" si="25"/>
        <v>19.03985887189323</v>
      </c>
    </row>
    <row r="49" spans="8:18" ht="12.75">
      <c r="H49" s="1">
        <v>16</v>
      </c>
      <c r="I49" s="1">
        <f t="shared" si="16"/>
        <v>352</v>
      </c>
      <c r="J49" s="1">
        <f t="shared" si="20"/>
        <v>27</v>
      </c>
      <c r="K49" s="1">
        <f t="shared" si="21"/>
        <v>340.5010296501047</v>
      </c>
      <c r="L49" s="1">
        <f t="shared" si="17"/>
        <v>353.0737946597433</v>
      </c>
      <c r="M49" s="1">
        <f t="shared" si="22"/>
        <v>260</v>
      </c>
      <c r="N49" s="1">
        <f t="shared" si="18"/>
        <v>270</v>
      </c>
      <c r="O49" s="1">
        <f t="shared" si="19"/>
        <v>269.1459359505088</v>
      </c>
      <c r="P49" s="1">
        <f t="shared" si="23"/>
        <v>352.02737519793203</v>
      </c>
      <c r="Q49" s="1">
        <f t="shared" si="24"/>
        <v>11.36493205689125</v>
      </c>
      <c r="R49" s="1">
        <f t="shared" si="25"/>
        <v>22.481965276460812</v>
      </c>
    </row>
    <row r="50" spans="8:18" ht="12.75">
      <c r="H50" s="1">
        <v>17</v>
      </c>
      <c r="I50" s="1">
        <f t="shared" si="16"/>
        <v>374</v>
      </c>
      <c r="J50" s="1">
        <f t="shared" si="20"/>
        <v>29</v>
      </c>
      <c r="K50" s="1">
        <f t="shared" si="21"/>
        <v>364.9454740945491</v>
      </c>
      <c r="L50" s="1">
        <f t="shared" si="17"/>
        <v>376.12671901973454</v>
      </c>
      <c r="M50" s="1">
        <f t="shared" si="22"/>
        <v>280</v>
      </c>
      <c r="N50" s="1">
        <f t="shared" si="18"/>
        <v>290</v>
      </c>
      <c r="O50" s="1">
        <f t="shared" si="19"/>
        <v>288.09795864953804</v>
      </c>
      <c r="P50" s="1">
        <f t="shared" si="23"/>
        <v>374.05198743764805</v>
      </c>
      <c r="Q50" s="1">
        <f t="shared" si="24"/>
        <v>15.120748699179513</v>
      </c>
      <c r="R50" s="1">
        <f t="shared" si="25"/>
        <v>26.30273054491034</v>
      </c>
    </row>
    <row r="51" spans="8:18" ht="12.75">
      <c r="H51" s="1">
        <v>18</v>
      </c>
      <c r="I51" s="1">
        <f t="shared" si="16"/>
        <v>396</v>
      </c>
      <c r="J51" s="1">
        <f t="shared" si="20"/>
        <v>31</v>
      </c>
      <c r="K51" s="1">
        <f t="shared" si="21"/>
        <v>386.6491590037101</v>
      </c>
      <c r="L51" s="1">
        <f t="shared" si="17"/>
        <v>396.56444106965364</v>
      </c>
      <c r="M51" s="1">
        <f t="shared" si="22"/>
        <v>300</v>
      </c>
      <c r="N51" s="1">
        <f t="shared" si="18"/>
        <v>310</v>
      </c>
      <c r="O51" s="1">
        <f t="shared" si="19"/>
        <v>309.43073624542427</v>
      </c>
      <c r="P51" s="1">
        <f t="shared" si="23"/>
        <v>396.0151586790678</v>
      </c>
      <c r="Q51" s="1">
        <f t="shared" si="24"/>
        <v>18.864499450977878</v>
      </c>
      <c r="R51" s="1">
        <f t="shared" si="25"/>
        <v>30.11124873882069</v>
      </c>
    </row>
    <row r="52" spans="8:18" ht="12.75">
      <c r="H52" s="1">
        <v>19</v>
      </c>
      <c r="I52" s="1">
        <f t="shared" si="16"/>
        <v>418</v>
      </c>
      <c r="J52" s="1">
        <f t="shared" si="20"/>
        <v>34</v>
      </c>
      <c r="K52" s="1">
        <f t="shared" si="21"/>
        <v>414.87023066320506</v>
      </c>
      <c r="L52" s="1">
        <f t="shared" si="17"/>
        <v>423.44725811214806</v>
      </c>
      <c r="M52" s="1">
        <f t="shared" si="22"/>
        <v>330</v>
      </c>
      <c r="N52" s="1">
        <f t="shared" si="18"/>
        <v>340</v>
      </c>
      <c r="O52" s="1">
        <f t="shared" si="19"/>
        <v>333.64901401496695</v>
      </c>
      <c r="P52" s="1">
        <f t="shared" si="23"/>
        <v>418.034976313513</v>
      </c>
      <c r="Q52" s="1">
        <f t="shared" si="24"/>
        <v>21.87501640448485</v>
      </c>
      <c r="R52" s="1">
        <f t="shared" si="25"/>
        <v>33.18670017962364</v>
      </c>
    </row>
    <row r="53" spans="8:18" ht="12.75">
      <c r="H53" s="1">
        <v>20</v>
      </c>
      <c r="I53" s="1">
        <f t="shared" si="16"/>
        <v>440</v>
      </c>
      <c r="J53" s="1">
        <f t="shared" si="20"/>
        <v>36</v>
      </c>
      <c r="K53" s="1">
        <f t="shared" si="21"/>
        <v>431.7845001723032</v>
      </c>
      <c r="L53" s="1">
        <f>IF(K53&lt;LBP,INDEX(x_array_sagging,J53+1),K53)</f>
        <v>440.00000000000006</v>
      </c>
      <c r="M53" s="1">
        <f t="shared" si="22"/>
        <v>350</v>
      </c>
      <c r="N53" s="1">
        <f t="shared" si="18"/>
        <v>360</v>
      </c>
      <c r="O53" s="1">
        <f>IF(K53&lt;LBP,(I53-K53)/(L53-K53)*(N53-M53)+M53,M53)</f>
        <v>359.99999999999994</v>
      </c>
      <c r="P53" s="1">
        <f t="shared" si="23"/>
        <v>439.99999999999994</v>
      </c>
      <c r="Q53" s="1">
        <f t="shared" si="24"/>
        <v>23.073794659743335</v>
      </c>
      <c r="R53" s="1">
        <f t="shared" si="25"/>
        <v>34.45025133969016</v>
      </c>
    </row>
    <row r="55" ht="12.75">
      <c r="J55" s="26"/>
    </row>
    <row r="56" spans="15:16" ht="12.75">
      <c r="O56"/>
      <c r="P56"/>
    </row>
    <row r="57" spans="15:16" ht="12.75">
      <c r="O57"/>
      <c r="P57"/>
    </row>
    <row r="58" spans="15:16" ht="12.75">
      <c r="O58"/>
      <c r="P58"/>
    </row>
    <row r="59" spans="15:16" ht="12.75">
      <c r="O59"/>
      <c r="P59"/>
    </row>
    <row r="60" spans="2:6" ht="12.75">
      <c r="B60" s="27"/>
      <c r="C60" s="27"/>
      <c r="D60" s="27"/>
      <c r="E60" s="27"/>
      <c r="F60" s="27"/>
    </row>
  </sheetData>
  <printOptions/>
  <pageMargins left="0.54" right="0.45" top="1" bottom="1" header="0.5" footer="0.5"/>
  <pageSetup horizontalDpi="600" verticalDpi="600" orientation="landscape" scale="65" r:id="rId4"/>
  <headerFooter alignWithMargins="0">
    <oddFooter>&amp;C&amp;F, &amp;A&amp;R&amp;D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W68"/>
  <sheetViews>
    <sheetView workbookViewId="0" topLeftCell="A1">
      <selection activeCell="M46" sqref="M46"/>
    </sheetView>
  </sheetViews>
  <sheetFormatPr defaultColWidth="9.140625" defaultRowHeight="12.75"/>
  <cols>
    <col min="1" max="1" width="16.421875" style="0" customWidth="1"/>
    <col min="2" max="8" width="7.8515625" style="0" customWidth="1"/>
    <col min="9" max="9" width="7.8515625" style="1" customWidth="1"/>
    <col min="10" max="12" width="7.8515625" style="0" customWidth="1"/>
    <col min="13" max="13" width="8.421875" style="0" customWidth="1"/>
    <col min="14" max="16384" width="7.8515625" style="0" customWidth="1"/>
  </cols>
  <sheetData>
    <row r="1" spans="6:17" ht="12.75">
      <c r="F1" t="s">
        <v>168</v>
      </c>
      <c r="I1" s="1" t="s">
        <v>169</v>
      </c>
      <c r="L1">
        <v>1.990575</v>
      </c>
      <c r="P1" s="1" t="s">
        <v>197</v>
      </c>
      <c r="Q1" s="4">
        <f>MIN(waterlines)</f>
        <v>0</v>
      </c>
    </row>
    <row r="2" spans="1:17" ht="12.75">
      <c r="A2" t="s">
        <v>20</v>
      </c>
      <c r="I2" s="1" t="s">
        <v>170</v>
      </c>
      <c r="L2">
        <v>32.17402</v>
      </c>
      <c r="P2" s="1" t="s">
        <v>198</v>
      </c>
      <c r="Q2" s="4">
        <f>MAX(waterlines)</f>
        <v>40</v>
      </c>
    </row>
    <row r="3" spans="9:16" ht="12.75">
      <c r="I3" s="1" t="s">
        <v>171</v>
      </c>
      <c r="L3">
        <v>2240</v>
      </c>
      <c r="P3" t="s">
        <v>200</v>
      </c>
    </row>
    <row r="4" spans="9:16" ht="12.75">
      <c r="I4" s="1" t="s">
        <v>172</v>
      </c>
      <c r="L4">
        <f>lbf_per_ton/gravity/sea_water_density</f>
        <v>34.975517213639655</v>
      </c>
      <c r="P4" t="s">
        <v>201</v>
      </c>
    </row>
    <row r="5" spans="1:16" ht="12.75">
      <c r="A5" s="14" t="s">
        <v>88</v>
      </c>
      <c r="P5" t="s">
        <v>202</v>
      </c>
    </row>
    <row r="6" spans="1:16" ht="12.75">
      <c r="A6" t="s">
        <v>31</v>
      </c>
      <c r="D6" s="16">
        <v>18.49451428716511</v>
      </c>
      <c r="F6" t="s">
        <v>40</v>
      </c>
      <c r="I6" s="15">
        <f>W22</f>
        <v>9325.344234391598</v>
      </c>
      <c r="K6">
        <f>displacement</f>
        <v>9330.041071428572</v>
      </c>
      <c r="M6" s="2">
        <f>ABS((I6-K6)/K6)</f>
        <v>0.0005034101137407903</v>
      </c>
      <c r="P6" t="s">
        <v>202</v>
      </c>
    </row>
    <row r="7" spans="1:13" ht="12.75">
      <c r="A7" t="s">
        <v>33</v>
      </c>
      <c r="D7" s="17">
        <v>-1.8804723786062412</v>
      </c>
      <c r="F7" t="s">
        <v>41</v>
      </c>
      <c r="I7" s="28">
        <f>W23/W22*section_spacing</f>
        <v>-17.792852318703524</v>
      </c>
      <c r="K7">
        <f>lcg</f>
        <v>-17.792849585526625</v>
      </c>
      <c r="M7" s="2">
        <f>ABS(I7-K7)/(K7+LBP/2)</f>
        <v>1.351671735359332E-08</v>
      </c>
    </row>
    <row r="8" ht="12.75"/>
    <row r="9" ht="12.75">
      <c r="A9" t="s">
        <v>184</v>
      </c>
    </row>
    <row r="10" ht="12.75">
      <c r="A10" t="s">
        <v>21</v>
      </c>
    </row>
    <row r="11" spans="1:22" ht="12.75">
      <c r="A11" t="s">
        <v>39</v>
      </c>
      <c r="B11">
        <f>'bonjeans data'!B8</f>
        <v>0</v>
      </c>
      <c r="C11">
        <f>'bonjeans data'!C8</f>
        <v>1</v>
      </c>
      <c r="D11">
        <f>'bonjeans data'!D8</f>
        <v>2</v>
      </c>
      <c r="E11">
        <f>'bonjeans data'!E8</f>
        <v>3</v>
      </c>
      <c r="F11">
        <f>'bonjeans data'!F8</f>
        <v>4</v>
      </c>
      <c r="G11">
        <f>'bonjeans data'!G8</f>
        <v>5</v>
      </c>
      <c r="H11">
        <f>'bonjeans data'!H8</f>
        <v>6</v>
      </c>
      <c r="I11" s="15">
        <f>'bonjeans data'!I8</f>
        <v>7</v>
      </c>
      <c r="J11">
        <f>'bonjeans data'!J8</f>
        <v>8</v>
      </c>
      <c r="K11">
        <f>'bonjeans data'!K8</f>
        <v>9</v>
      </c>
      <c r="L11">
        <f>'bonjeans data'!L8</f>
        <v>10</v>
      </c>
      <c r="M11">
        <f>'bonjeans data'!M8</f>
        <v>11</v>
      </c>
      <c r="N11">
        <f>'bonjeans data'!N8</f>
        <v>12</v>
      </c>
      <c r="O11">
        <f>'bonjeans data'!O8</f>
        <v>13</v>
      </c>
      <c r="P11">
        <f>'bonjeans data'!P8</f>
        <v>14</v>
      </c>
      <c r="Q11">
        <f>'bonjeans data'!Q8</f>
        <v>15</v>
      </c>
      <c r="R11">
        <f>'bonjeans data'!R8</f>
        <v>16</v>
      </c>
      <c r="S11">
        <f>'bonjeans data'!S8</f>
        <v>17</v>
      </c>
      <c r="T11">
        <f>'bonjeans data'!T8</f>
        <v>18</v>
      </c>
      <c r="U11">
        <f>'bonjeans data'!U8</f>
        <v>19</v>
      </c>
      <c r="V11">
        <f>'bonjeans data'!V8</f>
        <v>20</v>
      </c>
    </row>
    <row r="12" spans="1:22" ht="12.75">
      <c r="A12" t="s">
        <v>6</v>
      </c>
      <c r="B12">
        <f>'wave data'!R7</f>
        <v>-0.265472343520643</v>
      </c>
      <c r="C12">
        <f>'wave data'!R8</f>
        <v>0.7801757014047892</v>
      </c>
      <c r="D12">
        <f>'wave data'!R9</f>
        <v>2.4698311621834588</v>
      </c>
      <c r="E12">
        <f>'wave data'!R10</f>
        <v>4.800490409420758</v>
      </c>
      <c r="F12">
        <f>'wave data'!R11</f>
        <v>7.768596370737599</v>
      </c>
      <c r="G12">
        <f>'wave data'!R12</f>
        <v>11.335518345509518</v>
      </c>
      <c r="H12">
        <f>'wave data'!R13</f>
        <v>15.434212082492198</v>
      </c>
      <c r="I12" s="1">
        <f>'wave data'!R14</f>
        <v>19.9131457294317</v>
      </c>
      <c r="J12">
        <f>'wave data'!R15</f>
        <v>24.37799624125664</v>
      </c>
      <c r="K12">
        <f>'wave data'!R16</f>
        <v>28.111472781860154</v>
      </c>
      <c r="L12">
        <f>'wave data'!R17</f>
        <v>30.031411617036778</v>
      </c>
      <c r="M12">
        <f>'wave data'!R18</f>
        <v>29.553793941696448</v>
      </c>
      <c r="N12">
        <f>'wave data'!R19</f>
        <v>27.266236575286005</v>
      </c>
      <c r="O12">
        <f>'wave data'!R20</f>
        <v>24.243585583514225</v>
      </c>
      <c r="P12">
        <f>'wave data'!R21</f>
        <v>21.210885945877184</v>
      </c>
      <c r="Q12">
        <f>'wave data'!R22</f>
        <v>18.55495208805267</v>
      </c>
      <c r="R12">
        <f>'wave data'!R23</f>
        <v>16.431896798716966</v>
      </c>
      <c r="S12">
        <f>'wave data'!R24</f>
        <v>14.910764529170429</v>
      </c>
      <c r="T12">
        <f>'wave data'!R25</f>
        <v>14.024820643488457</v>
      </c>
      <c r="U12">
        <f>'wave data'!R26</f>
        <v>13.780406386503934</v>
      </c>
      <c r="V12">
        <f>'wave data'!R27</f>
        <v>14.180706258107527</v>
      </c>
    </row>
    <row r="13" spans="1:22" ht="12.75">
      <c r="A13" t="s">
        <v>26</v>
      </c>
      <c r="B13">
        <f>IF(B12&gt;0,MATCH(B12,waterlines),1)</f>
        <v>1</v>
      </c>
      <c r="C13">
        <f aca="true" t="shared" si="0" ref="C13:V13">IF(C12&gt;0,MATCH(C12,waterlines),1)</f>
        <v>1</v>
      </c>
      <c r="D13">
        <f t="shared" si="0"/>
        <v>2</v>
      </c>
      <c r="E13">
        <f t="shared" si="0"/>
        <v>3</v>
      </c>
      <c r="F13">
        <f t="shared" si="0"/>
        <v>5</v>
      </c>
      <c r="G13">
        <f t="shared" si="0"/>
        <v>6</v>
      </c>
      <c r="H13">
        <f t="shared" si="0"/>
        <v>7</v>
      </c>
      <c r="I13">
        <f t="shared" si="0"/>
        <v>8</v>
      </c>
      <c r="J13">
        <f t="shared" si="0"/>
        <v>9</v>
      </c>
      <c r="K13">
        <f t="shared" si="0"/>
        <v>10</v>
      </c>
      <c r="L13">
        <f t="shared" si="0"/>
        <v>11</v>
      </c>
      <c r="M13">
        <f t="shared" si="0"/>
        <v>10</v>
      </c>
      <c r="N13">
        <f t="shared" si="0"/>
        <v>10</v>
      </c>
      <c r="O13">
        <f t="shared" si="0"/>
        <v>9</v>
      </c>
      <c r="P13">
        <f t="shared" si="0"/>
        <v>9</v>
      </c>
      <c r="Q13">
        <f t="shared" si="0"/>
        <v>8</v>
      </c>
      <c r="R13">
        <f t="shared" si="0"/>
        <v>7</v>
      </c>
      <c r="S13">
        <f t="shared" si="0"/>
        <v>6</v>
      </c>
      <c r="T13">
        <f t="shared" si="0"/>
        <v>6</v>
      </c>
      <c r="U13">
        <f t="shared" si="0"/>
        <v>6</v>
      </c>
      <c r="V13">
        <f t="shared" si="0"/>
        <v>6</v>
      </c>
    </row>
    <row r="14" spans="1:22" ht="12.75">
      <c r="A14" t="s">
        <v>27</v>
      </c>
      <c r="B14">
        <f aca="true" t="shared" si="1" ref="B14:V14">INDEX(waterlines,B13)</f>
        <v>0</v>
      </c>
      <c r="C14">
        <f t="shared" si="1"/>
        <v>0</v>
      </c>
      <c r="D14">
        <f t="shared" si="1"/>
        <v>1</v>
      </c>
      <c r="E14">
        <f t="shared" si="1"/>
        <v>2.5</v>
      </c>
      <c r="F14">
        <f t="shared" si="1"/>
        <v>7.5</v>
      </c>
      <c r="G14">
        <f t="shared" si="1"/>
        <v>10</v>
      </c>
      <c r="H14">
        <f t="shared" si="1"/>
        <v>15</v>
      </c>
      <c r="I14">
        <f t="shared" si="1"/>
        <v>18</v>
      </c>
      <c r="J14">
        <f t="shared" si="1"/>
        <v>20</v>
      </c>
      <c r="K14">
        <f t="shared" si="1"/>
        <v>25</v>
      </c>
      <c r="L14">
        <f t="shared" si="1"/>
        <v>30</v>
      </c>
      <c r="M14">
        <f t="shared" si="1"/>
        <v>25</v>
      </c>
      <c r="N14">
        <f t="shared" si="1"/>
        <v>25</v>
      </c>
      <c r="O14">
        <f t="shared" si="1"/>
        <v>20</v>
      </c>
      <c r="P14">
        <f t="shared" si="1"/>
        <v>20</v>
      </c>
      <c r="Q14">
        <f t="shared" si="1"/>
        <v>18</v>
      </c>
      <c r="R14">
        <f t="shared" si="1"/>
        <v>15</v>
      </c>
      <c r="S14">
        <f t="shared" si="1"/>
        <v>10</v>
      </c>
      <c r="T14">
        <f t="shared" si="1"/>
        <v>10</v>
      </c>
      <c r="U14">
        <f t="shared" si="1"/>
        <v>10</v>
      </c>
      <c r="V14">
        <f t="shared" si="1"/>
        <v>10</v>
      </c>
    </row>
    <row r="15" spans="1:22" ht="12.75">
      <c r="A15" t="s">
        <v>199</v>
      </c>
      <c r="B15">
        <f>IF(B14&lt;max_draft,INDEX(waterlines,B13+1),B14)</f>
        <v>1</v>
      </c>
      <c r="C15">
        <f aca="true" t="shared" si="2" ref="C15:V15">IF(C14&lt;max_draft,INDEX(waterlines,C13+1),C14)</f>
        <v>1</v>
      </c>
      <c r="D15">
        <f t="shared" si="2"/>
        <v>2.5</v>
      </c>
      <c r="E15">
        <f t="shared" si="2"/>
        <v>5</v>
      </c>
      <c r="F15">
        <f t="shared" si="2"/>
        <v>10</v>
      </c>
      <c r="G15">
        <f t="shared" si="2"/>
        <v>15</v>
      </c>
      <c r="H15">
        <f t="shared" si="2"/>
        <v>18</v>
      </c>
      <c r="I15">
        <f t="shared" si="2"/>
        <v>20</v>
      </c>
      <c r="J15">
        <f t="shared" si="2"/>
        <v>25</v>
      </c>
      <c r="K15">
        <f t="shared" si="2"/>
        <v>30</v>
      </c>
      <c r="L15">
        <f t="shared" si="2"/>
        <v>35</v>
      </c>
      <c r="M15">
        <f t="shared" si="2"/>
        <v>30</v>
      </c>
      <c r="N15">
        <f t="shared" si="2"/>
        <v>30</v>
      </c>
      <c r="O15">
        <f t="shared" si="2"/>
        <v>25</v>
      </c>
      <c r="P15">
        <f t="shared" si="2"/>
        <v>25</v>
      </c>
      <c r="Q15">
        <f t="shared" si="2"/>
        <v>20</v>
      </c>
      <c r="R15">
        <f t="shared" si="2"/>
        <v>18</v>
      </c>
      <c r="S15">
        <f t="shared" si="2"/>
        <v>15</v>
      </c>
      <c r="T15">
        <f t="shared" si="2"/>
        <v>15</v>
      </c>
      <c r="U15">
        <f t="shared" si="2"/>
        <v>15</v>
      </c>
      <c r="V15">
        <f t="shared" si="2"/>
        <v>15</v>
      </c>
    </row>
    <row r="16" spans="1:22" ht="12.75">
      <c r="A16" t="s">
        <v>28</v>
      </c>
      <c r="B16">
        <f>INDEX('bonjeans data'!B9:B21,B13)</f>
        <v>0</v>
      </c>
      <c r="C16">
        <f>INDEX('bonjeans data'!C9:C21,C13)</f>
        <v>0</v>
      </c>
      <c r="D16">
        <f>INDEX('bonjeans data'!D9:D21,D13)</f>
        <v>0</v>
      </c>
      <c r="E16">
        <f>INDEX('bonjeans data'!E9:E21,E13)</f>
        <v>0.0016925899621212123</v>
      </c>
      <c r="F16">
        <f>INDEX('bonjeans data'!F9:F21,F13)</f>
        <v>0.375474668560606</v>
      </c>
      <c r="G16">
        <f>INDEX('bonjeans data'!G9:G21,G13)</f>
        <v>0.6569164299242424</v>
      </c>
      <c r="H16">
        <f>INDEX('bonjeans data'!H9:H21,H13)</f>
        <v>1.2180752840909093</v>
      </c>
      <c r="I16">
        <f>INDEX('bonjeans data'!I9:I21,I13)</f>
        <v>1.6065340909090908</v>
      </c>
      <c r="J16">
        <f>INDEX('bonjeans data'!J9:J21,J13)</f>
        <v>1.8333333333333333</v>
      </c>
      <c r="K16">
        <f>INDEX('bonjeans data'!K9:K21,K13)</f>
        <v>2.3333333333333335</v>
      </c>
      <c r="L16">
        <f>INDEX('bonjeans data'!L9:L21,L13)</f>
        <v>2.8333333333333335</v>
      </c>
      <c r="M16">
        <f>INDEX('bonjeans data'!M9:M21,M13)</f>
        <v>2.3333333333333335</v>
      </c>
      <c r="N16">
        <f>INDEX('bonjeans data'!N9:N21,N13)</f>
        <v>2.261792696976474</v>
      </c>
      <c r="O16">
        <f>INDEX('bonjeans data'!O9:O21,O13)</f>
        <v>1.6451788707749697</v>
      </c>
      <c r="P16">
        <f>INDEX('bonjeans data'!P9:P21,P13)</f>
        <v>1.5366019387863339</v>
      </c>
      <c r="Q16">
        <f>INDEX('bonjeans data'!Q9:Q21,Q13)</f>
        <v>1.233724463727066</v>
      </c>
      <c r="R16">
        <f>INDEX('bonjeans data'!R9:R21,R13)</f>
        <v>0.8480273580633277</v>
      </c>
      <c r="S16">
        <f>INDEX('bonjeans data'!S9:S21,S13)</f>
        <v>0.27487860829631977</v>
      </c>
      <c r="T16">
        <f>INDEX('bonjeans data'!T9:T21,T13)</f>
        <v>0.125058056222187</v>
      </c>
      <c r="U16">
        <f>INDEX('bonjeans data'!U9:U21,U13)</f>
        <v>0.015269850910135089</v>
      </c>
      <c r="V16">
        <f>INDEX('bonjeans data'!V9:V21,V13)</f>
        <v>0</v>
      </c>
    </row>
    <row r="17" spans="1:22" ht="12.75">
      <c r="A17" t="s">
        <v>29</v>
      </c>
      <c r="B17">
        <f>INDEX('bonjeans data'!B9:B21,IF(B12&gt;max_draft,B13,B13+1))</f>
        <v>0</v>
      </c>
      <c r="C17">
        <f>INDEX('bonjeans data'!C9:C21,IF(C12&gt;max_draft,C13,C13+1))</f>
        <v>0</v>
      </c>
      <c r="D17">
        <f>INDEX('bonjeans data'!D9:D21,IF(D12&gt;max_draft,D13,D13+1))</f>
        <v>0</v>
      </c>
      <c r="E17">
        <f>INDEX('bonjeans data'!E9:E21,IF(E12&gt;max_draft,E13,E13+1))</f>
        <v>0.015201231060606061</v>
      </c>
      <c r="F17">
        <f>INDEX('bonjeans data'!F9:F21,IF(F12&gt;max_draft,F13,F13+1))</f>
        <v>0.5849431818181817</v>
      </c>
      <c r="G17">
        <f>INDEX('bonjeans data'!G9:G21,IF(G12&gt;max_draft,G13,G13+1))</f>
        <v>1.1316714015151514</v>
      </c>
      <c r="H17">
        <f>INDEX('bonjeans data'!H9:H21,IF(H12&gt;max_draft,H13,H13+1))</f>
        <v>1.5144294507575757</v>
      </c>
      <c r="I17">
        <f>INDEX('bonjeans data'!I9:I21,IF(I12&gt;max_draft,I13,I13+1))</f>
        <v>1.806628787878788</v>
      </c>
      <c r="J17">
        <f>INDEX('bonjeans data'!J9:J21,IF(J12&gt;max_draft,J13,J13+1))</f>
        <v>2.3333333333333335</v>
      </c>
      <c r="K17">
        <f>INDEX('bonjeans data'!K9:K21,IF(K12&gt;max_draft,K13,K13+1))</f>
        <v>2.8333333333333335</v>
      </c>
      <c r="L17">
        <f>INDEX('bonjeans data'!L9:L21,IF(L12&gt;max_draft,L13,L13+1))</f>
        <v>3.3333333333333335</v>
      </c>
      <c r="M17">
        <f>INDEX('bonjeans data'!M9:M21,IF(M12&gt;max_draft,M13,M13+1))</f>
        <v>2.8333333333333335</v>
      </c>
      <c r="N17">
        <f>INDEX('bonjeans data'!N9:N21,IF(N12&gt;max_draft,N13,N13+1))</f>
        <v>2.7618687811633755</v>
      </c>
      <c r="O17">
        <f>INDEX('bonjeans data'!O9:O21,IF(O12&gt;max_draft,O13,O13+1))</f>
        <v>2.1451603242334794</v>
      </c>
      <c r="P17">
        <f>INDEX('bonjeans data'!P9:P21,IF(P12&gt;max_draft,P13,P13+1))</f>
        <v>2.0365833922448435</v>
      </c>
      <c r="Q17">
        <f>INDEX('bonjeans data'!Q9:Q21,IF(Q12&gt;max_draft,Q13,Q13+1))</f>
        <v>1.4312897669272182</v>
      </c>
      <c r="R17">
        <f>INDEX('bonjeans data'!R9:R21,IF(R12&gt;max_draft,R13,R13+1))</f>
        <v>1.1312985290839026</v>
      </c>
      <c r="S17">
        <f>INDEX('bonjeans data'!S9:S21,IF(S12&gt;max_draft,S13,S13+1))</f>
        <v>0.6892594706197425</v>
      </c>
      <c r="T17">
        <f>INDEX('bonjeans data'!T9:T21,IF(T12&gt;max_draft,T13,T13+1))</f>
        <v>0.5025341173568806</v>
      </c>
      <c r="U17">
        <f>INDEX('bonjeans data'!U9:U21,IF(U12&gt;max_draft,U13,U13+1))</f>
        <v>0.34590725014316165</v>
      </c>
      <c r="V17">
        <f>INDEX('bonjeans data'!V9:V21,IF(V12&gt;max_draft,V13,V13+1))</f>
        <v>0.11956829109135295</v>
      </c>
    </row>
    <row r="18" spans="1:22" ht="12.75">
      <c r="A18" t="s">
        <v>87</v>
      </c>
      <c r="B18">
        <f>IF((B17-B16)&gt;0,(B12-B14)/(B15-B14)*(B17-B16)+B16,B16)</f>
        <v>0</v>
      </c>
      <c r="C18">
        <f aca="true" t="shared" si="3" ref="C18:V18">IF((C17-C16)&gt;0,(C12-C14)/(C15-C14)*(C17-C16)+C16,C16)</f>
        <v>0</v>
      </c>
      <c r="D18">
        <f t="shared" si="3"/>
        <v>0</v>
      </c>
      <c r="E18">
        <f t="shared" si="3"/>
        <v>0.014123189678669806</v>
      </c>
      <c r="F18">
        <f t="shared" si="3"/>
        <v>0.3979796615385202</v>
      </c>
      <c r="G18">
        <f t="shared" si="3"/>
        <v>0.7837252247605442</v>
      </c>
      <c r="H18">
        <f t="shared" si="3"/>
        <v>1.2609688040454337</v>
      </c>
      <c r="I18">
        <f t="shared" si="3"/>
        <v>1.797939248403844</v>
      </c>
      <c r="J18">
        <f t="shared" si="3"/>
        <v>2.2711329574589976</v>
      </c>
      <c r="K18">
        <f t="shared" si="3"/>
        <v>2.644480611519349</v>
      </c>
      <c r="L18">
        <f t="shared" si="3"/>
        <v>2.8364744950370113</v>
      </c>
      <c r="M18">
        <f t="shared" si="3"/>
        <v>2.788712727502978</v>
      </c>
      <c r="N18">
        <f t="shared" si="3"/>
        <v>2.488450839458506</v>
      </c>
      <c r="O18">
        <f t="shared" si="3"/>
        <v>2.0695216883591736</v>
      </c>
      <c r="P18">
        <f t="shared" si="3"/>
        <v>1.6576860418247652</v>
      </c>
      <c r="Q18">
        <f t="shared" si="3"/>
        <v>1.2885441024959075</v>
      </c>
      <c r="R18">
        <f t="shared" si="3"/>
        <v>0.9832323857143835</v>
      </c>
      <c r="S18">
        <f t="shared" si="3"/>
        <v>0.6818639763493036</v>
      </c>
      <c r="T18">
        <f t="shared" si="3"/>
        <v>0.42891274487771214</v>
      </c>
      <c r="U18">
        <f t="shared" si="3"/>
        <v>0.265258598045652</v>
      </c>
      <c r="V18">
        <f t="shared" si="3"/>
        <v>0.09997598056736835</v>
      </c>
    </row>
    <row r="19" spans="1:22" ht="12.75">
      <c r="A19" t="s">
        <v>86</v>
      </c>
      <c r="B19" s="1">
        <f>'wave data'!P7</f>
        <v>0</v>
      </c>
      <c r="C19" s="1">
        <f>'wave data'!P8</f>
        <v>22.020255349780417</v>
      </c>
      <c r="D19" s="1">
        <f>'wave data'!P9</f>
        <v>44.02974821309559</v>
      </c>
      <c r="E19" s="1">
        <f>'wave data'!P10</f>
        <v>66.03123305603874</v>
      </c>
      <c r="F19" s="1">
        <f>'wave data'!P11</f>
        <v>88.06710987633434</v>
      </c>
      <c r="G19" s="1">
        <f>'wave data'!P12</f>
        <v>110.05567028082538</v>
      </c>
      <c r="H19" s="1">
        <f>'wave data'!P13</f>
        <v>132.02737519793203</v>
      </c>
      <c r="I19" s="1">
        <f>'wave data'!P14</f>
        <v>154.05198743764802</v>
      </c>
      <c r="J19" s="1">
        <f>'wave data'!P15</f>
        <v>176.0151586790678</v>
      </c>
      <c r="K19" s="1">
        <f>'wave data'!P16</f>
        <v>198.03497631351308</v>
      </c>
      <c r="L19" s="1">
        <f>'wave data'!P17</f>
        <v>220</v>
      </c>
      <c r="M19" s="1">
        <f>'wave data'!P18</f>
        <v>241.96502368648692</v>
      </c>
      <c r="N19" s="1">
        <f>'wave data'!P19</f>
        <v>263.9848413209322</v>
      </c>
      <c r="O19" s="1">
        <f>'wave data'!P20</f>
        <v>285.948012562352</v>
      </c>
      <c r="P19" s="1">
        <f>'wave data'!P21</f>
        <v>307.97262480206797</v>
      </c>
      <c r="Q19" s="1">
        <f>'wave data'!P22</f>
        <v>329.9443297191746</v>
      </c>
      <c r="R19" s="1">
        <f>'wave data'!P23</f>
        <v>351.9328901236656</v>
      </c>
      <c r="S19" s="1">
        <f>'wave data'!P24</f>
        <v>373.9687669439612</v>
      </c>
      <c r="T19" s="1">
        <f>'wave data'!P25</f>
        <v>395.97025178690444</v>
      </c>
      <c r="U19" s="1">
        <f>'wave data'!P26</f>
        <v>417.97974465021963</v>
      </c>
      <c r="V19" s="1">
        <f>'wave data'!P27</f>
        <v>440</v>
      </c>
    </row>
    <row r="20" spans="1:22" ht="12.75">
      <c r="A20" t="s">
        <v>44</v>
      </c>
      <c r="B20">
        <f>B18*sa_scale_factor</f>
        <v>0</v>
      </c>
      <c r="C20">
        <f>C18*sa_scale_factor</f>
        <v>0</v>
      </c>
      <c r="D20">
        <f>D18*sa_scale_factor</f>
        <v>0</v>
      </c>
      <c r="E20">
        <f>E18*sa_scale_factor</f>
        <v>8.473913807201884</v>
      </c>
      <c r="F20">
        <f>F18*sa_scale_factor</f>
        <v>238.78779692311213</v>
      </c>
      <c r="G20">
        <f aca="true" t="shared" si="4" ref="G20:U20">G18*sa_scale_factor</f>
        <v>470.2351348563265</v>
      </c>
      <c r="H20">
        <f t="shared" si="4"/>
        <v>756.5812824272602</v>
      </c>
      <c r="I20">
        <f t="shared" si="4"/>
        <v>1078.7635490423063</v>
      </c>
      <c r="J20">
        <f t="shared" si="4"/>
        <v>1362.6797744753985</v>
      </c>
      <c r="K20">
        <f t="shared" si="4"/>
        <v>1586.6883669116094</v>
      </c>
      <c r="L20">
        <f t="shared" si="4"/>
        <v>1701.8846970222069</v>
      </c>
      <c r="M20">
        <f t="shared" si="4"/>
        <v>1673.227636501787</v>
      </c>
      <c r="N20">
        <f t="shared" si="4"/>
        <v>1493.0705036751037</v>
      </c>
      <c r="O20">
        <f t="shared" si="4"/>
        <v>1241.7130130155042</v>
      </c>
      <c r="P20">
        <f t="shared" si="4"/>
        <v>994.6116250948592</v>
      </c>
      <c r="Q20">
        <f t="shared" si="4"/>
        <v>773.1264614975445</v>
      </c>
      <c r="R20">
        <f t="shared" si="4"/>
        <v>589.9394314286301</v>
      </c>
      <c r="S20">
        <f t="shared" si="4"/>
        <v>409.11838580958215</v>
      </c>
      <c r="T20">
        <f t="shared" si="4"/>
        <v>257.3476469266273</v>
      </c>
      <c r="U20">
        <f t="shared" si="4"/>
        <v>159.1551588273912</v>
      </c>
      <c r="V20">
        <f>V18*sa_scale_factor</f>
        <v>59.98558834042101</v>
      </c>
    </row>
    <row r="21" spans="1:22" ht="12.75">
      <c r="A21" t="s">
        <v>161</v>
      </c>
      <c r="B21">
        <f aca="true" t="shared" si="5" ref="B21:V21">B20*section_spacing/cu_ft_per_ton</f>
        <v>0</v>
      </c>
      <c r="C21">
        <f t="shared" si="5"/>
        <v>0</v>
      </c>
      <c r="D21">
        <f t="shared" si="5"/>
        <v>0</v>
      </c>
      <c r="E21">
        <f t="shared" si="5"/>
        <v>5.330188617932418</v>
      </c>
      <c r="F21">
        <f t="shared" si="5"/>
        <v>150.2002529432156</v>
      </c>
      <c r="G21">
        <f t="shared" si="5"/>
        <v>295.7832733008106</v>
      </c>
      <c r="H21">
        <f t="shared" si="5"/>
        <v>475.8982722608213</v>
      </c>
      <c r="I21">
        <f t="shared" si="5"/>
        <v>678.5545996064782</v>
      </c>
      <c r="J21">
        <f t="shared" si="5"/>
        <v>857.1411497745531</v>
      </c>
      <c r="K21">
        <f t="shared" si="5"/>
        <v>998.0451142104174</v>
      </c>
      <c r="L21">
        <f t="shared" si="5"/>
        <v>1070.5049222227722</v>
      </c>
      <c r="M21">
        <f t="shared" si="5"/>
        <v>1052.4793036851463</v>
      </c>
      <c r="N21">
        <f t="shared" si="5"/>
        <v>939.1584084435636</v>
      </c>
      <c r="O21">
        <f t="shared" si="5"/>
        <v>781.0516745035529</v>
      </c>
      <c r="P21">
        <f t="shared" si="5"/>
        <v>625.6220778217294</v>
      </c>
      <c r="Q21">
        <f t="shared" si="5"/>
        <v>486.305378961285</v>
      </c>
      <c r="R21">
        <f t="shared" si="5"/>
        <v>371.0786437310633</v>
      </c>
      <c r="S21">
        <f t="shared" si="5"/>
        <v>257.3401397564116</v>
      </c>
      <c r="T21">
        <f t="shared" si="5"/>
        <v>161.87461068275172</v>
      </c>
      <c r="U21">
        <f t="shared" si="5"/>
        <v>100.11041360203632</v>
      </c>
      <c r="V21">
        <f t="shared" si="5"/>
        <v>37.73162053410938</v>
      </c>
    </row>
    <row r="22" spans="1:23" ht="12.75">
      <c r="A22" t="s">
        <v>183</v>
      </c>
      <c r="B22">
        <f aca="true" t="shared" si="6" ref="B22:U22">(B21+C21)/2</f>
        <v>0</v>
      </c>
      <c r="C22">
        <f t="shared" si="6"/>
        <v>0</v>
      </c>
      <c r="D22">
        <f t="shared" si="6"/>
        <v>2.665094308966209</v>
      </c>
      <c r="E22">
        <f t="shared" si="6"/>
        <v>77.765220780574</v>
      </c>
      <c r="F22">
        <f t="shared" si="6"/>
        <v>222.99176312201308</v>
      </c>
      <c r="G22">
        <f t="shared" si="6"/>
        <v>385.84077278081594</v>
      </c>
      <c r="H22">
        <f t="shared" si="6"/>
        <v>577.2264359336498</v>
      </c>
      <c r="I22">
        <f t="shared" si="6"/>
        <v>767.8478746905157</v>
      </c>
      <c r="J22">
        <f t="shared" si="6"/>
        <v>927.5931319924853</v>
      </c>
      <c r="K22">
        <f t="shared" si="6"/>
        <v>1034.2750182165948</v>
      </c>
      <c r="L22">
        <f t="shared" si="6"/>
        <v>1061.4921129539593</v>
      </c>
      <c r="M22">
        <f t="shared" si="6"/>
        <v>995.818856064355</v>
      </c>
      <c r="N22">
        <f t="shared" si="6"/>
        <v>860.1050414735582</v>
      </c>
      <c r="O22">
        <f t="shared" si="6"/>
        <v>703.3368761626411</v>
      </c>
      <c r="P22">
        <f t="shared" si="6"/>
        <v>555.9637283915072</v>
      </c>
      <c r="Q22">
        <f t="shared" si="6"/>
        <v>428.6920113461741</v>
      </c>
      <c r="R22">
        <f t="shared" si="6"/>
        <v>314.20939174373746</v>
      </c>
      <c r="S22">
        <f t="shared" si="6"/>
        <v>209.60737521958166</v>
      </c>
      <c r="T22">
        <f t="shared" si="6"/>
        <v>130.99251214239402</v>
      </c>
      <c r="U22">
        <f t="shared" si="6"/>
        <v>68.92101706807284</v>
      </c>
      <c r="V22" s="1"/>
      <c r="W22">
        <f>SUM(B22:V22)</f>
        <v>9325.344234391598</v>
      </c>
    </row>
    <row r="23" spans="1:23" ht="12.75">
      <c r="A23" t="s">
        <v>42</v>
      </c>
      <c r="B23" s="1">
        <f aca="true" t="shared" si="7" ref="B23:U23">B22*(9.5-B11)</f>
        <v>0</v>
      </c>
      <c r="C23" s="1">
        <f t="shared" si="7"/>
        <v>0</v>
      </c>
      <c r="D23" s="1">
        <f t="shared" si="7"/>
        <v>19.988207317246566</v>
      </c>
      <c r="E23" s="1">
        <f t="shared" si="7"/>
        <v>505.473935073731</v>
      </c>
      <c r="F23" s="1">
        <f t="shared" si="7"/>
        <v>1226.454697171072</v>
      </c>
      <c r="G23" s="1">
        <f t="shared" si="7"/>
        <v>1736.2834775136716</v>
      </c>
      <c r="H23" s="1">
        <f t="shared" si="7"/>
        <v>2020.2925257677744</v>
      </c>
      <c r="I23" s="1">
        <f t="shared" si="7"/>
        <v>1919.6196867262893</v>
      </c>
      <c r="J23" s="1">
        <f t="shared" si="7"/>
        <v>1391.389697988728</v>
      </c>
      <c r="K23" s="1">
        <f t="shared" si="7"/>
        <v>517.1375091082974</v>
      </c>
      <c r="L23" s="1">
        <f t="shared" si="7"/>
        <v>-530.7460564769797</v>
      </c>
      <c r="M23" s="1">
        <f t="shared" si="7"/>
        <v>-1493.7282840965327</v>
      </c>
      <c r="N23" s="1">
        <f t="shared" si="7"/>
        <v>-2150.2626036838956</v>
      </c>
      <c r="O23" s="1">
        <f t="shared" si="7"/>
        <v>-2461.6790665692442</v>
      </c>
      <c r="P23" s="1">
        <f t="shared" si="7"/>
        <v>-2501.8367777617823</v>
      </c>
      <c r="Q23" s="1">
        <f t="shared" si="7"/>
        <v>-2357.8060624039576</v>
      </c>
      <c r="R23" s="1">
        <f t="shared" si="7"/>
        <v>-2042.3610463342934</v>
      </c>
      <c r="S23" s="1">
        <f t="shared" si="7"/>
        <v>-1572.0553141468624</v>
      </c>
      <c r="T23" s="1">
        <f t="shared" si="7"/>
        <v>-1113.4363532103491</v>
      </c>
      <c r="U23" s="1">
        <f t="shared" si="7"/>
        <v>-654.749662146692</v>
      </c>
      <c r="V23" s="1"/>
      <c r="W23">
        <f>SUM(B23:V23)</f>
        <v>-7542.021490163776</v>
      </c>
    </row>
    <row r="24" spans="2:22" ht="12.75"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12.75">
      <c r="A25" s="14" t="s">
        <v>89</v>
      </c>
    </row>
    <row r="26" spans="1:13" ht="12.75">
      <c r="A26" t="s">
        <v>34</v>
      </c>
      <c r="D26" s="16">
        <v>22.264593541304475</v>
      </c>
      <c r="F26" t="s">
        <v>40</v>
      </c>
      <c r="I26" s="1">
        <f>W41</f>
        <v>9329.951508685772</v>
      </c>
      <c r="K26">
        <f>displacement</f>
        <v>9330.041071428572</v>
      </c>
      <c r="M26" s="2">
        <f>ABS((I26-K26)/K26)</f>
        <v>9.599394269996008E-06</v>
      </c>
    </row>
    <row r="27" spans="1:13" ht="12.75">
      <c r="A27" t="s">
        <v>35</v>
      </c>
      <c r="D27" s="17">
        <v>-0.1689596773334614</v>
      </c>
      <c r="F27" t="s">
        <v>41</v>
      </c>
      <c r="I27" s="1">
        <f>W42/W41*section_spacing</f>
        <v>-17.792851050009855</v>
      </c>
      <c r="K27">
        <f>lcg</f>
        <v>-17.792849585526625</v>
      </c>
      <c r="M27" s="2">
        <f>ABS((I27-K27)/(K27+LBP/2))</f>
        <v>7.242489826864521E-09</v>
      </c>
    </row>
    <row r="28" ht="12.75">
      <c r="V28">
        <f>'wave data'!U28</f>
        <v>0</v>
      </c>
    </row>
    <row r="29" ht="12.75">
      <c r="A29" t="s">
        <v>22</v>
      </c>
    </row>
    <row r="30" spans="1:22" ht="12.75">
      <c r="A30" t="s">
        <v>39</v>
      </c>
      <c r="B30">
        <f>'bonjeans data'!B8</f>
        <v>0</v>
      </c>
      <c r="C30">
        <f>'bonjeans data'!C8</f>
        <v>1</v>
      </c>
      <c r="D30">
        <f>'bonjeans data'!D8</f>
        <v>2</v>
      </c>
      <c r="E30">
        <f>'bonjeans data'!E8</f>
        <v>3</v>
      </c>
      <c r="F30">
        <f>'bonjeans data'!F8</f>
        <v>4</v>
      </c>
      <c r="G30">
        <f>'bonjeans data'!G8</f>
        <v>5</v>
      </c>
      <c r="H30">
        <f>'bonjeans data'!H8</f>
        <v>6</v>
      </c>
      <c r="I30" s="15">
        <f>'bonjeans data'!I8</f>
        <v>7</v>
      </c>
      <c r="J30">
        <f>'bonjeans data'!J8</f>
        <v>8</v>
      </c>
      <c r="K30">
        <f>'bonjeans data'!K8</f>
        <v>9</v>
      </c>
      <c r="L30">
        <f>'bonjeans data'!L8</f>
        <v>10</v>
      </c>
      <c r="M30">
        <f>'bonjeans data'!M8</f>
        <v>11</v>
      </c>
      <c r="N30">
        <f>'bonjeans data'!N8</f>
        <v>12</v>
      </c>
      <c r="O30">
        <f>'bonjeans data'!O8</f>
        <v>13</v>
      </c>
      <c r="P30">
        <f>'bonjeans data'!P8</f>
        <v>14</v>
      </c>
      <c r="Q30">
        <f>'bonjeans data'!Q8</f>
        <v>15</v>
      </c>
      <c r="R30">
        <f>'bonjeans data'!R8</f>
        <v>16</v>
      </c>
      <c r="S30">
        <f>'bonjeans data'!S8</f>
        <v>17</v>
      </c>
      <c r="T30">
        <f>'bonjeans data'!T8</f>
        <v>18</v>
      </c>
      <c r="U30">
        <f>'bonjeans data'!U8</f>
        <v>19</v>
      </c>
      <c r="V30">
        <f>'bonjeans data'!V8</f>
        <v>20</v>
      </c>
    </row>
    <row r="31" spans="1:22" ht="12.75">
      <c r="A31" t="s">
        <v>6</v>
      </c>
      <c r="B31">
        <f>'wave data'!R33</f>
        <v>33.15273040266212</v>
      </c>
      <c r="C31">
        <f>'wave data'!R34</f>
        <v>32.01872505221168</v>
      </c>
      <c r="D31">
        <f>'wave data'!R35</f>
        <v>29.07314258600068</v>
      </c>
      <c r="E31">
        <f>'wave data'!R36</f>
        <v>25.39415927631431</v>
      </c>
      <c r="F31">
        <f>'wave data'!R37</f>
        <v>21.703291260187303</v>
      </c>
      <c r="G31">
        <f>'wave data'!R38</f>
        <v>18.390770069947678</v>
      </c>
      <c r="H31">
        <f>'wave data'!R39</f>
        <v>15.610623750393708</v>
      </c>
      <c r="I31" s="1">
        <f>'wave data'!R40</f>
        <v>13.43098647937135</v>
      </c>
      <c r="J31">
        <f>'wave data'!R41</f>
        <v>11.887565338433133</v>
      </c>
      <c r="K31">
        <f>'wave data'!R42</f>
        <v>10.98543452001408</v>
      </c>
      <c r="L31">
        <f>'wave data'!R43</f>
        <v>10.727696211432807</v>
      </c>
      <c r="M31">
        <f>'wave data'!R44</f>
        <v>11.115306076173368</v>
      </c>
      <c r="N31">
        <f>'wave data'!R45</f>
        <v>12.147244975517511</v>
      </c>
      <c r="O31">
        <f>'wave data'!R46</f>
        <v>13.820426967498566</v>
      </c>
      <c r="P31">
        <f>'wave data'!R47</f>
        <v>16.130027927339576</v>
      </c>
      <c r="Q31">
        <f>'wave data'!R48</f>
        <v>19.03985887189323</v>
      </c>
      <c r="R31">
        <f>'wave data'!R49</f>
        <v>22.481965276460812</v>
      </c>
      <c r="S31">
        <f>'wave data'!R50</f>
        <v>26.30273054491034</v>
      </c>
      <c r="T31">
        <f>'wave data'!R51</f>
        <v>30.11124873882069</v>
      </c>
      <c r="U31">
        <f>'wave data'!R52</f>
        <v>33.18670017962364</v>
      </c>
      <c r="V31">
        <f>'wave data'!R53</f>
        <v>34.45025133969016</v>
      </c>
    </row>
    <row r="32" spans="1:22" ht="12.75">
      <c r="A32" t="s">
        <v>26</v>
      </c>
      <c r="B32">
        <f>IF(B31&gt;0,MATCH(B31,waterlines),1)</f>
        <v>11</v>
      </c>
      <c r="C32">
        <f aca="true" t="shared" si="8" ref="C32:V32">IF(C31&gt;0,MATCH(C31,waterlines),1)</f>
        <v>11</v>
      </c>
      <c r="D32">
        <f t="shared" si="8"/>
        <v>10</v>
      </c>
      <c r="E32">
        <f t="shared" si="8"/>
        <v>10</v>
      </c>
      <c r="F32">
        <f t="shared" si="8"/>
        <v>9</v>
      </c>
      <c r="G32">
        <f t="shared" si="8"/>
        <v>8</v>
      </c>
      <c r="H32">
        <f t="shared" si="8"/>
        <v>7</v>
      </c>
      <c r="I32">
        <f t="shared" si="8"/>
        <v>6</v>
      </c>
      <c r="J32">
        <f t="shared" si="8"/>
        <v>6</v>
      </c>
      <c r="K32">
        <f t="shared" si="8"/>
        <v>6</v>
      </c>
      <c r="L32">
        <f t="shared" si="8"/>
        <v>6</v>
      </c>
      <c r="M32">
        <f t="shared" si="8"/>
        <v>6</v>
      </c>
      <c r="N32">
        <f t="shared" si="8"/>
        <v>6</v>
      </c>
      <c r="O32">
        <f t="shared" si="8"/>
        <v>6</v>
      </c>
      <c r="P32">
        <f t="shared" si="8"/>
        <v>7</v>
      </c>
      <c r="Q32">
        <f t="shared" si="8"/>
        <v>8</v>
      </c>
      <c r="R32">
        <f t="shared" si="8"/>
        <v>9</v>
      </c>
      <c r="S32">
        <f t="shared" si="8"/>
        <v>10</v>
      </c>
      <c r="T32">
        <f t="shared" si="8"/>
        <v>11</v>
      </c>
      <c r="U32">
        <f t="shared" si="8"/>
        <v>11</v>
      </c>
      <c r="V32">
        <f t="shared" si="8"/>
        <v>11</v>
      </c>
    </row>
    <row r="33" spans="1:22" ht="12.75">
      <c r="A33" t="s">
        <v>27</v>
      </c>
      <c r="B33">
        <f>INDEX(waterlines,B32)</f>
        <v>30</v>
      </c>
      <c r="C33">
        <f aca="true" t="shared" si="9" ref="C33:V33">INDEX(waterlines,C32)</f>
        <v>30</v>
      </c>
      <c r="D33">
        <f t="shared" si="9"/>
        <v>25</v>
      </c>
      <c r="E33">
        <f t="shared" si="9"/>
        <v>25</v>
      </c>
      <c r="F33">
        <f t="shared" si="9"/>
        <v>20</v>
      </c>
      <c r="G33">
        <f t="shared" si="9"/>
        <v>18</v>
      </c>
      <c r="H33">
        <f t="shared" si="9"/>
        <v>15</v>
      </c>
      <c r="I33" s="15">
        <f t="shared" si="9"/>
        <v>10</v>
      </c>
      <c r="J33">
        <f t="shared" si="9"/>
        <v>10</v>
      </c>
      <c r="K33">
        <f t="shared" si="9"/>
        <v>10</v>
      </c>
      <c r="L33">
        <f t="shared" si="9"/>
        <v>10</v>
      </c>
      <c r="M33">
        <f t="shared" si="9"/>
        <v>10</v>
      </c>
      <c r="N33">
        <f t="shared" si="9"/>
        <v>10</v>
      </c>
      <c r="O33">
        <f t="shared" si="9"/>
        <v>10</v>
      </c>
      <c r="P33">
        <f t="shared" si="9"/>
        <v>15</v>
      </c>
      <c r="Q33">
        <f t="shared" si="9"/>
        <v>18</v>
      </c>
      <c r="R33">
        <f t="shared" si="9"/>
        <v>20</v>
      </c>
      <c r="S33">
        <f t="shared" si="9"/>
        <v>25</v>
      </c>
      <c r="T33">
        <f t="shared" si="9"/>
        <v>30</v>
      </c>
      <c r="U33">
        <f t="shared" si="9"/>
        <v>30</v>
      </c>
      <c r="V33">
        <f t="shared" si="9"/>
        <v>30</v>
      </c>
    </row>
    <row r="34" spans="1:22" ht="12.75">
      <c r="A34" t="s">
        <v>199</v>
      </c>
      <c r="B34">
        <f>IF(B33&lt;max_draft,INDEX(waterlines,B32+1),B33)</f>
        <v>35</v>
      </c>
      <c r="C34">
        <f>IF(C33&lt;max_draft,INDEX(waterlines,C32+1),C33)</f>
        <v>35</v>
      </c>
      <c r="D34">
        <f aca="true" t="shared" si="10" ref="D34:V34">INDEX(waterlines,D32+1)</f>
        <v>30</v>
      </c>
      <c r="E34">
        <f t="shared" si="10"/>
        <v>30</v>
      </c>
      <c r="F34">
        <f t="shared" si="10"/>
        <v>25</v>
      </c>
      <c r="G34">
        <f t="shared" si="10"/>
        <v>20</v>
      </c>
      <c r="H34">
        <f t="shared" si="10"/>
        <v>18</v>
      </c>
      <c r="I34" s="15">
        <f t="shared" si="10"/>
        <v>15</v>
      </c>
      <c r="J34">
        <f t="shared" si="10"/>
        <v>15</v>
      </c>
      <c r="K34">
        <f t="shared" si="10"/>
        <v>15</v>
      </c>
      <c r="L34">
        <f t="shared" si="10"/>
        <v>15</v>
      </c>
      <c r="M34">
        <f t="shared" si="10"/>
        <v>15</v>
      </c>
      <c r="N34">
        <f t="shared" si="10"/>
        <v>15</v>
      </c>
      <c r="O34">
        <f t="shared" si="10"/>
        <v>15</v>
      </c>
      <c r="P34">
        <f t="shared" si="10"/>
        <v>18</v>
      </c>
      <c r="Q34">
        <f t="shared" si="10"/>
        <v>20</v>
      </c>
      <c r="R34">
        <f t="shared" si="10"/>
        <v>25</v>
      </c>
      <c r="S34">
        <f t="shared" si="10"/>
        <v>30</v>
      </c>
      <c r="T34">
        <f t="shared" si="10"/>
        <v>35</v>
      </c>
      <c r="U34">
        <f t="shared" si="10"/>
        <v>35</v>
      </c>
      <c r="V34">
        <f t="shared" si="10"/>
        <v>35</v>
      </c>
    </row>
    <row r="35" spans="1:22" ht="12.75">
      <c r="A35" t="s">
        <v>28</v>
      </c>
      <c r="B35">
        <f>INDEX('bonjeans data'!B9:B21,B32)</f>
        <v>0.05635298295454545</v>
      </c>
      <c r="C35">
        <f>INDEX('bonjeans data'!C9:C21,C32)</f>
        <v>0.4980255681818182</v>
      </c>
      <c r="D35">
        <f>INDEX('bonjeans data'!D9:D21,D32)</f>
        <v>0.707734375</v>
      </c>
      <c r="E35">
        <f>INDEX('bonjeans data'!E9:E21,E32)</f>
        <v>1.4746330492424242</v>
      </c>
      <c r="F35">
        <f>INDEX('bonjeans data'!F9:F21,F32)</f>
        <v>1.5342092803030303</v>
      </c>
      <c r="G35">
        <f>INDEX('bonjeans data'!G9:G21,G32)</f>
        <v>1.4248579545454545</v>
      </c>
      <c r="H35">
        <f>INDEX('bonjeans data'!H9:H21,H32)</f>
        <v>1.2180752840909093</v>
      </c>
      <c r="I35">
        <f>INDEX('bonjeans data'!I9:I21,I32)</f>
        <v>0.8100023674242424</v>
      </c>
      <c r="J35">
        <f>INDEX('bonjeans data'!J9:J21,J32)</f>
        <v>0.8333333333333334</v>
      </c>
      <c r="K35">
        <f>INDEX('bonjeans data'!K9:K21,K32)</f>
        <v>0.8333333333333334</v>
      </c>
      <c r="L35">
        <f>INDEX('bonjeans data'!L9:L21,L32)</f>
        <v>0.8333333333333334</v>
      </c>
      <c r="M35">
        <f>INDEX('bonjeans data'!M9:M21,M32)</f>
        <v>0.8333333333333334</v>
      </c>
      <c r="N35">
        <f>INDEX('bonjeans data'!N9:N21,N32)</f>
        <v>0.7720459804692757</v>
      </c>
      <c r="O35">
        <f>INDEX('bonjeans data'!O9:O21,O32)</f>
        <v>0.6727393112107296</v>
      </c>
      <c r="P35">
        <f>INDEX('bonjeans data'!P9:P21,P32)</f>
        <v>1.0476402336490591</v>
      </c>
      <c r="Q35">
        <f>INDEX('bonjeans data'!Q9:Q21,Q32)</f>
        <v>1.233724463727066</v>
      </c>
      <c r="R35">
        <f>INDEX('bonjeans data'!R9:R21,R32)</f>
        <v>1.32775192122545</v>
      </c>
      <c r="S35">
        <f>INDEX('bonjeans data'!S9:S21,S32)</f>
        <v>1.6269979420826794</v>
      </c>
      <c r="T35">
        <f>INDEX('bonjeans data'!T9:T21,T32)</f>
        <v>1.8301346294169036</v>
      </c>
      <c r="U35">
        <f>INDEX('bonjeans data'!U9:U21,U32)</f>
        <v>1.5833613474529726</v>
      </c>
      <c r="V35">
        <f>INDEX('bonjeans data'!V9:V21,V32)</f>
        <v>0.7090160009397577</v>
      </c>
    </row>
    <row r="36" spans="1:22" ht="12.75">
      <c r="A36" t="s">
        <v>29</v>
      </c>
      <c r="B36">
        <f>INDEX('bonjeans data'!B9:B21,IF(B31&gt;max_draft,B32,B32+1))</f>
        <v>0.27671046401515154</v>
      </c>
      <c r="C36">
        <f>INDEX('bonjeans data'!C9:C21,IF(C31&lt;max_draft,C32+1,C32))</f>
        <v>0.8787642045454546</v>
      </c>
      <c r="D36">
        <f>INDEX('bonjeans data'!D9:D21,IF(D31&lt;max_draft,D32+1,D32))</f>
        <v>1.1319247159090908</v>
      </c>
      <c r="E36">
        <f>INDEX('bonjeans data'!E9:E21,IF(E31&lt;max_draft,E32+1,E32))</f>
        <v>1.9465317234848483</v>
      </c>
      <c r="F36">
        <f>INDEX('bonjeans data'!F9:F21,IF(F31&lt;max_draft,F32+1,F32))</f>
        <v>2.0340435606060603</v>
      </c>
      <c r="G36">
        <f>INDEX('bonjeans data'!G9:G21,IF(G31&lt;max_draft,G32+1,G32))</f>
        <v>1.623650568181818</v>
      </c>
      <c r="H36">
        <f>INDEX('bonjeans data'!H9:H21,IF(H31&lt;max_draft,H32+1,H32))</f>
        <v>1.5144294507575757</v>
      </c>
      <c r="I36">
        <f>INDEX('bonjeans data'!I9:I21,IF(I31&lt;max_draft,I32+1,I32))</f>
        <v>1.3071141098484849</v>
      </c>
      <c r="J36">
        <f>INDEX('bonjeans data'!J9:J21,IF(J31&lt;max_draft,J32+1,J32))</f>
        <v>1.3333333333333333</v>
      </c>
      <c r="K36">
        <f>INDEX('bonjeans data'!K9:K21,IF(K31&lt;max_draft,K32+1,K32))</f>
        <v>1.3333333333333333</v>
      </c>
      <c r="L36">
        <f>INDEX('bonjeans data'!L9:L21,IF(L31&lt;max_draft,L32+1,L32))</f>
        <v>1.3333333333333333</v>
      </c>
      <c r="M36">
        <f>INDEX('bonjeans data'!M9:M21,IF(M31&lt;max_draft,M32+1,M32))</f>
        <v>1.3333333333333333</v>
      </c>
      <c r="N36">
        <f>INDEX('bonjeans data'!N9:N21,IF(N31&lt;max_draft,N32+1,N32))</f>
        <v>1.264254702474497</v>
      </c>
      <c r="O36">
        <f>INDEX('bonjeans data'!O9:O21,IF(O31&lt;max_draft,O32+1,O32))</f>
        <v>1.1520747055023401</v>
      </c>
      <c r="P36">
        <f>INDEX('bonjeans data'!P9:P21,IF(P31&lt;max_draft,P32+1,P32))</f>
        <v>1.3383742204874387</v>
      </c>
      <c r="Q36">
        <f>INDEX('bonjeans data'!Q9:Q21,IF(Q31&lt;max_draft,Q32+1,Q32))</f>
        <v>1.4312897669272182</v>
      </c>
      <c r="R36">
        <f>INDEX('bonjeans data'!R9:R21,IF(R31&lt;max_draft,R32+1,R32))</f>
        <v>1.826585977102208</v>
      </c>
      <c r="S36">
        <f>INDEX('bonjeans data'!S9:S21,IF(S31&lt;max_draft,S32+1,S32))</f>
        <v>2.1107620544630303</v>
      </c>
      <c r="T36">
        <f>INDEX('bonjeans data'!T9:T21,IF(T31&lt;max_draft,T32+1,T32))</f>
        <v>2.296971670256156</v>
      </c>
      <c r="U36">
        <f>INDEX('bonjeans data'!U9:U21,IF(U31&lt;max_draft,U32+1,U32))</f>
        <v>2.0302549622836366</v>
      </c>
      <c r="V36">
        <f>INDEX('bonjeans data'!V9:V21,IF(V31&lt;max_draft,V32+1,V32))</f>
        <v>0.9256624076360278</v>
      </c>
    </row>
    <row r="37" spans="1:22" ht="12.75">
      <c r="A37" t="s">
        <v>90</v>
      </c>
      <c r="B37">
        <f>IF((B36-B35)&gt;0,(B31-B33)/(B34-B33)*(B36-B35)+B35,B35)</f>
        <v>0.19529852895330857</v>
      </c>
      <c r="C37">
        <f aca="true" t="shared" si="11" ref="C37:V37">IF((C36-C35)&gt;0,(C31-C33)/(C34-C33)*(C36-C35)+C35,C35)</f>
        <v>0.6517468928962552</v>
      </c>
      <c r="D37">
        <f t="shared" si="11"/>
        <v>1.053291923425393</v>
      </c>
      <c r="E37">
        <f t="shared" si="11"/>
        <v>1.5118336972290394</v>
      </c>
      <c r="F37">
        <f t="shared" si="11"/>
        <v>1.7044819525394626</v>
      </c>
      <c r="G37">
        <f t="shared" si="11"/>
        <v>1.4636990563133363</v>
      </c>
      <c r="H37">
        <f t="shared" si="11"/>
        <v>1.2783955816558432</v>
      </c>
      <c r="I37">
        <f t="shared" si="11"/>
        <v>1.1511191008231043</v>
      </c>
      <c r="J37">
        <f t="shared" si="11"/>
        <v>1.0220898671766465</v>
      </c>
      <c r="K37">
        <f t="shared" si="11"/>
        <v>0.9318767853347413</v>
      </c>
      <c r="L37">
        <f t="shared" si="11"/>
        <v>0.906102954476614</v>
      </c>
      <c r="M37">
        <f t="shared" si="11"/>
        <v>0.9448639409506702</v>
      </c>
      <c r="N37">
        <f t="shared" si="11"/>
        <v>0.9834245215155971</v>
      </c>
      <c r="O37">
        <f t="shared" si="11"/>
        <v>1.038992484576375</v>
      </c>
      <c r="P37">
        <f t="shared" si="11"/>
        <v>1.1571527418337744</v>
      </c>
      <c r="Q37">
        <f t="shared" si="11"/>
        <v>1.336444480382543</v>
      </c>
      <c r="R37">
        <f t="shared" si="11"/>
        <v>1.5753696823058951</v>
      </c>
      <c r="S37">
        <f t="shared" si="11"/>
        <v>1.7530407992285437</v>
      </c>
      <c r="T37">
        <f t="shared" si="11"/>
        <v>1.8405216358225338</v>
      </c>
      <c r="U37">
        <f t="shared" si="11"/>
        <v>1.8681845399836798</v>
      </c>
      <c r="V37">
        <f t="shared" si="11"/>
        <v>0.9018421932675849</v>
      </c>
    </row>
    <row r="38" spans="1:22" ht="12.75">
      <c r="A38" t="s">
        <v>91</v>
      </c>
      <c r="B38" s="1">
        <f>'wave data'!P33</f>
        <v>0</v>
      </c>
      <c r="C38" s="1">
        <f>'wave data'!P34</f>
        <v>21.965023686486944</v>
      </c>
      <c r="D38" s="1">
        <f>'wave data'!P35</f>
        <v>43.98484132093221</v>
      </c>
      <c r="E38" s="1">
        <f>'wave data'!P36</f>
        <v>65.94801256235198</v>
      </c>
      <c r="F38" s="1">
        <f>'wave data'!P37</f>
        <v>87.97262480206797</v>
      </c>
      <c r="G38" s="1">
        <f>'wave data'!P38</f>
        <v>109.94432971917459</v>
      </c>
      <c r="H38" s="1">
        <f>'wave data'!P39</f>
        <v>131.9328901236657</v>
      </c>
      <c r="I38" s="1">
        <f>'wave data'!P40</f>
        <v>153.96876694396127</v>
      </c>
      <c r="J38" s="1">
        <f>'wave data'!P41</f>
        <v>175.97025178690444</v>
      </c>
      <c r="K38" s="1">
        <f>'wave data'!P42</f>
        <v>197.97974465021957</v>
      </c>
      <c r="L38" s="1">
        <f>'wave data'!P43</f>
        <v>219.99999999999997</v>
      </c>
      <c r="M38" s="1">
        <f>'wave data'!P44</f>
        <v>242.02025534978043</v>
      </c>
      <c r="N38" s="1">
        <f>'wave data'!P45</f>
        <v>264.02974821309556</v>
      </c>
      <c r="O38" s="1">
        <f>'wave data'!P46</f>
        <v>286.0312330560388</v>
      </c>
      <c r="P38" s="1">
        <f>'wave data'!P47</f>
        <v>308.06710987633437</v>
      </c>
      <c r="Q38" s="1">
        <f>'wave data'!P48</f>
        <v>330.0556702808253</v>
      </c>
      <c r="R38" s="1">
        <f>'wave data'!P49</f>
        <v>352.02737519793203</v>
      </c>
      <c r="S38" s="1">
        <f>'wave data'!P50</f>
        <v>374.05198743764805</v>
      </c>
      <c r="T38" s="1">
        <f>'wave data'!P51</f>
        <v>396.0151586790678</v>
      </c>
      <c r="U38" s="1">
        <f>'wave data'!P52</f>
        <v>418.034976313513</v>
      </c>
      <c r="V38" s="1">
        <f>'wave data'!P53</f>
        <v>439.99999999999994</v>
      </c>
    </row>
    <row r="39" spans="1:22" ht="12.75">
      <c r="A39" t="s">
        <v>44</v>
      </c>
      <c r="B39">
        <f aca="true" t="shared" si="12" ref="B39:V39">B37*sa_scale_factor</f>
        <v>117.17911737198514</v>
      </c>
      <c r="C39">
        <f>C37*sa_scale_factor</f>
        <v>391.0481357377531</v>
      </c>
      <c r="D39">
        <f t="shared" si="12"/>
        <v>631.9751540552359</v>
      </c>
      <c r="E39">
        <f t="shared" si="12"/>
        <v>907.1002183374236</v>
      </c>
      <c r="F39">
        <f t="shared" si="12"/>
        <v>1022.6891715236775</v>
      </c>
      <c r="G39">
        <f t="shared" si="12"/>
        <v>878.2194337880018</v>
      </c>
      <c r="H39">
        <f t="shared" si="12"/>
        <v>767.0373489935059</v>
      </c>
      <c r="I39" s="1">
        <f t="shared" si="12"/>
        <v>690.6714604938626</v>
      </c>
      <c r="J39">
        <f t="shared" si="12"/>
        <v>613.2539203059879</v>
      </c>
      <c r="K39">
        <f t="shared" si="12"/>
        <v>559.1260712008448</v>
      </c>
      <c r="L39">
        <f t="shared" si="12"/>
        <v>543.6617726859685</v>
      </c>
      <c r="M39">
        <f t="shared" si="12"/>
        <v>566.9183645704021</v>
      </c>
      <c r="N39">
        <f t="shared" si="12"/>
        <v>590.0547129093583</v>
      </c>
      <c r="O39">
        <f t="shared" si="12"/>
        <v>623.395490745825</v>
      </c>
      <c r="P39">
        <f t="shared" si="12"/>
        <v>694.2916451002646</v>
      </c>
      <c r="Q39">
        <f t="shared" si="12"/>
        <v>801.8666882295258</v>
      </c>
      <c r="R39">
        <f t="shared" si="12"/>
        <v>945.2218093835371</v>
      </c>
      <c r="S39">
        <f t="shared" si="12"/>
        <v>1051.8244795371263</v>
      </c>
      <c r="T39">
        <f t="shared" si="12"/>
        <v>1104.3129814935203</v>
      </c>
      <c r="U39">
        <f t="shared" si="12"/>
        <v>1120.910723990208</v>
      </c>
      <c r="V39">
        <f t="shared" si="12"/>
        <v>541.1053159605509</v>
      </c>
    </row>
    <row r="40" spans="1:22" ht="12.75">
      <c r="A40" t="s">
        <v>161</v>
      </c>
      <c r="B40">
        <f aca="true" t="shared" si="13" ref="B40:V40">B39*section_spacing/cu_ft_per_ton</f>
        <v>73.70700385749649</v>
      </c>
      <c r="C40">
        <f t="shared" si="13"/>
        <v>245.97374596866777</v>
      </c>
      <c r="D40">
        <f t="shared" si="13"/>
        <v>397.5195936142771</v>
      </c>
      <c r="E40">
        <f t="shared" si="13"/>
        <v>570.5764029599784</v>
      </c>
      <c r="F40">
        <f t="shared" si="13"/>
        <v>643.2831753735079</v>
      </c>
      <c r="G40">
        <f t="shared" si="13"/>
        <v>552.4100594515685</v>
      </c>
      <c r="H40">
        <f t="shared" si="13"/>
        <v>482.47525761467034</v>
      </c>
      <c r="I40">
        <f t="shared" si="13"/>
        <v>434.4402410992613</v>
      </c>
      <c r="J40">
        <f t="shared" si="13"/>
        <v>385.74372365450887</v>
      </c>
      <c r="K40">
        <f t="shared" si="13"/>
        <v>351.69668803701245</v>
      </c>
      <c r="L40">
        <f t="shared" si="13"/>
        <v>341.9694675573507</v>
      </c>
      <c r="M40">
        <f t="shared" si="13"/>
        <v>356.5981296106458</v>
      </c>
      <c r="N40">
        <f t="shared" si="13"/>
        <v>371.1511570997872</v>
      </c>
      <c r="O40">
        <f t="shared" si="13"/>
        <v>392.12288735103334</v>
      </c>
      <c r="P40">
        <f t="shared" si="13"/>
        <v>436.7173785853022</v>
      </c>
      <c r="Q40">
        <f t="shared" si="13"/>
        <v>504.38330999634087</v>
      </c>
      <c r="R40">
        <f t="shared" si="13"/>
        <v>594.5553193514544</v>
      </c>
      <c r="S40">
        <f t="shared" si="13"/>
        <v>661.6096170492842</v>
      </c>
      <c r="T40">
        <f t="shared" si="13"/>
        <v>694.6254845770513</v>
      </c>
      <c r="U40">
        <f t="shared" si="13"/>
        <v>705.0656542733761</v>
      </c>
      <c r="V40">
        <f t="shared" si="13"/>
        <v>340.36142706389217</v>
      </c>
    </row>
    <row r="41" spans="1:23" ht="12.75">
      <c r="A41" t="s">
        <v>183</v>
      </c>
      <c r="B41">
        <f>(B40+C40)/2</f>
        <v>159.84037491308214</v>
      </c>
      <c r="C41">
        <f aca="true" t="shared" si="14" ref="C41:U41">(C40+D40)/2</f>
        <v>321.7466697914724</v>
      </c>
      <c r="D41">
        <f t="shared" si="14"/>
        <v>484.0479982871277</v>
      </c>
      <c r="E41">
        <f t="shared" si="14"/>
        <v>606.9297891667431</v>
      </c>
      <c r="F41">
        <f t="shared" si="14"/>
        <v>597.8466174125382</v>
      </c>
      <c r="G41">
        <f t="shared" si="14"/>
        <v>517.4426585331194</v>
      </c>
      <c r="H41">
        <f t="shared" si="14"/>
        <v>458.4577493569658</v>
      </c>
      <c r="I41">
        <f t="shared" si="14"/>
        <v>410.0919823768851</v>
      </c>
      <c r="J41">
        <f t="shared" si="14"/>
        <v>368.7202058457607</v>
      </c>
      <c r="K41">
        <f t="shared" si="14"/>
        <v>346.83307779718155</v>
      </c>
      <c r="L41">
        <f t="shared" si="14"/>
        <v>349.28379858399825</v>
      </c>
      <c r="M41">
        <f t="shared" si="14"/>
        <v>363.8746433552165</v>
      </c>
      <c r="N41">
        <f t="shared" si="14"/>
        <v>381.6370222254103</v>
      </c>
      <c r="O41">
        <f t="shared" si="14"/>
        <v>414.42013296816776</v>
      </c>
      <c r="P41">
        <f t="shared" si="14"/>
        <v>470.5503442908215</v>
      </c>
      <c r="Q41">
        <f t="shared" si="14"/>
        <v>549.4693146738977</v>
      </c>
      <c r="R41">
        <f t="shared" si="14"/>
        <v>628.0824682003692</v>
      </c>
      <c r="S41">
        <f t="shared" si="14"/>
        <v>678.1175508131678</v>
      </c>
      <c r="T41">
        <f t="shared" si="14"/>
        <v>699.8455694252137</v>
      </c>
      <c r="U41">
        <f t="shared" si="14"/>
        <v>522.7135406686341</v>
      </c>
      <c r="W41">
        <f>SUM(B41:V41)</f>
        <v>9329.951508685772</v>
      </c>
    </row>
    <row r="42" spans="1:23" ht="12.75">
      <c r="A42" t="s">
        <v>42</v>
      </c>
      <c r="B42" s="1">
        <f aca="true" t="shared" si="15" ref="B42:U42">B41*(9.5-B30)</f>
        <v>1518.4835616742803</v>
      </c>
      <c r="C42" s="1">
        <f t="shared" si="15"/>
        <v>2734.8466932275155</v>
      </c>
      <c r="D42" s="1">
        <f t="shared" si="15"/>
        <v>3630.359987153458</v>
      </c>
      <c r="E42" s="1">
        <f t="shared" si="15"/>
        <v>3945.0436295838304</v>
      </c>
      <c r="F42" s="1">
        <f t="shared" si="15"/>
        <v>3288.15639576896</v>
      </c>
      <c r="G42" s="1">
        <f t="shared" si="15"/>
        <v>2328.491963399037</v>
      </c>
      <c r="H42" s="1">
        <f t="shared" si="15"/>
        <v>1604.6021227493802</v>
      </c>
      <c r="I42" s="1">
        <f t="shared" si="15"/>
        <v>1025.2299559422127</v>
      </c>
      <c r="J42" s="1">
        <f t="shared" si="15"/>
        <v>553.0803087686411</v>
      </c>
      <c r="K42" s="1">
        <f t="shared" si="15"/>
        <v>173.41653889859077</v>
      </c>
      <c r="L42" s="1">
        <f t="shared" si="15"/>
        <v>-174.64189929199912</v>
      </c>
      <c r="M42" s="1">
        <f t="shared" si="15"/>
        <v>-545.8119650328248</v>
      </c>
      <c r="N42" s="1">
        <f t="shared" si="15"/>
        <v>-954.0925555635258</v>
      </c>
      <c r="O42" s="1">
        <f t="shared" si="15"/>
        <v>-1450.4704653885872</v>
      </c>
      <c r="P42" s="1">
        <f t="shared" si="15"/>
        <v>-2117.4765493086966</v>
      </c>
      <c r="Q42" s="1">
        <f t="shared" si="15"/>
        <v>-3022.081230706437</v>
      </c>
      <c r="R42" s="1">
        <f t="shared" si="15"/>
        <v>-4082.5360433024002</v>
      </c>
      <c r="S42" s="1">
        <f t="shared" si="15"/>
        <v>-5085.881631098759</v>
      </c>
      <c r="T42" s="1">
        <f t="shared" si="15"/>
        <v>-5948.687340114317</v>
      </c>
      <c r="U42" s="1">
        <f t="shared" si="15"/>
        <v>-4965.778636352024</v>
      </c>
      <c r="V42" s="1"/>
      <c r="W42">
        <f>SUM(B42:V42)</f>
        <v>-7545.747158993666</v>
      </c>
    </row>
    <row r="43" ht="12.75">
      <c r="I43"/>
    </row>
    <row r="44" ht="12.75">
      <c r="A44" s="14" t="s">
        <v>135</v>
      </c>
    </row>
    <row r="45" spans="1:19" ht="12.75">
      <c r="A45" t="s">
        <v>36</v>
      </c>
      <c r="D45" s="16">
        <v>19.091182829755734</v>
      </c>
      <c r="F45" t="s">
        <v>40</v>
      </c>
      <c r="I45" s="1">
        <f>W59*section_spacing/cu_ft_per_ton</f>
        <v>9328.620825027927</v>
      </c>
      <c r="K45">
        <f>displacement</f>
        <v>9330.041071428572</v>
      </c>
      <c r="M45" s="2">
        <f>ABS((I45-K45)/K45)</f>
        <v>0.00015222295269353694</v>
      </c>
      <c r="R45">
        <v>20.860052698626564</v>
      </c>
      <c r="S45">
        <f>16-1.41355663641018</f>
        <v>14.58644336358982</v>
      </c>
    </row>
    <row r="46" spans="1:13" ht="12.75">
      <c r="A46" t="s">
        <v>37</v>
      </c>
      <c r="D46" s="17">
        <v>-0.6178404547935284</v>
      </c>
      <c r="F46" t="s">
        <v>41</v>
      </c>
      <c r="I46" s="28">
        <f>W61/W60*section_spacing</f>
        <v>-17.79284980828407</v>
      </c>
      <c r="K46">
        <f>lcg</f>
        <v>-17.792849585526625</v>
      </c>
      <c r="M46" s="2">
        <f>ABS(I46-K46)/(K46+LBP/2)</f>
        <v>1.1016299166965427E-09</v>
      </c>
    </row>
    <row r="47" spans="4:13" ht="12.75">
      <c r="D47" s="9"/>
      <c r="M47" s="2"/>
    </row>
    <row r="48" ht="12.75">
      <c r="A48" t="s">
        <v>25</v>
      </c>
    </row>
    <row r="49" spans="1:22" ht="12.75">
      <c r="A49" t="s">
        <v>39</v>
      </c>
      <c r="B49">
        <f>'bonjeans data'!B8</f>
        <v>0</v>
      </c>
      <c r="C49">
        <f>'bonjeans data'!C8</f>
        <v>1</v>
      </c>
      <c r="D49">
        <f>'bonjeans data'!D8</f>
        <v>2</v>
      </c>
      <c r="E49">
        <f>'bonjeans data'!E8</f>
        <v>3</v>
      </c>
      <c r="F49">
        <f>'bonjeans data'!F8</f>
        <v>4</v>
      </c>
      <c r="G49">
        <f>'bonjeans data'!G8</f>
        <v>5</v>
      </c>
      <c r="H49">
        <f>'bonjeans data'!H8</f>
        <v>6</v>
      </c>
      <c r="I49" s="1">
        <f>'bonjeans data'!I8</f>
        <v>7</v>
      </c>
      <c r="J49">
        <f>'bonjeans data'!J8</f>
        <v>8</v>
      </c>
      <c r="K49">
        <f>'bonjeans data'!K8</f>
        <v>9</v>
      </c>
      <c r="L49">
        <f>'bonjeans data'!L8</f>
        <v>10</v>
      </c>
      <c r="M49">
        <f>'bonjeans data'!M8</f>
        <v>11</v>
      </c>
      <c r="N49">
        <f>'bonjeans data'!N8</f>
        <v>12</v>
      </c>
      <c r="O49">
        <f>'bonjeans data'!O8</f>
        <v>13</v>
      </c>
      <c r="P49">
        <f>'bonjeans data'!P8</f>
        <v>14</v>
      </c>
      <c r="Q49">
        <f>'bonjeans data'!Q8</f>
        <v>15</v>
      </c>
      <c r="R49">
        <f>'bonjeans data'!R8</f>
        <v>16</v>
      </c>
      <c r="S49">
        <f>'bonjeans data'!S8</f>
        <v>17</v>
      </c>
      <c r="T49">
        <f>'bonjeans data'!T8</f>
        <v>18</v>
      </c>
      <c r="U49">
        <f>'bonjeans data'!U8</f>
        <v>19</v>
      </c>
      <c r="V49">
        <f>'bonjeans data'!V8</f>
        <v>20</v>
      </c>
    </row>
    <row r="50" spans="1:22" ht="12.75">
      <c r="A50" t="s">
        <v>6</v>
      </c>
      <c r="B50">
        <f>'wave data'!U7</f>
        <v>16.71875383179121</v>
      </c>
      <c r="C50">
        <f>'wave data'!U8</f>
        <v>16.955996731587664</v>
      </c>
      <c r="D50">
        <f>'wave data'!U9</f>
        <v>17.193239631384117</v>
      </c>
      <c r="E50">
        <f>'wave data'!U10</f>
        <v>17.43048253118057</v>
      </c>
      <c r="F50">
        <f>'wave data'!U11</f>
        <v>17.667725430977022</v>
      </c>
      <c r="G50">
        <f>'wave data'!U12</f>
        <v>17.904968330773475</v>
      </c>
      <c r="H50">
        <f>'wave data'!U13</f>
        <v>18.142211230569927</v>
      </c>
      <c r="I50" s="1">
        <f>'wave data'!U14</f>
        <v>18.379454130366376</v>
      </c>
      <c r="J50">
        <f>'wave data'!U15</f>
        <v>18.61669703016283</v>
      </c>
      <c r="K50">
        <f>'wave data'!U16</f>
        <v>18.85393992995928</v>
      </c>
      <c r="L50">
        <f>'wave data'!U17</f>
        <v>19.091182829755734</v>
      </c>
      <c r="M50">
        <f>'wave data'!U18</f>
        <v>19.328425729552187</v>
      </c>
      <c r="N50">
        <f>'wave data'!U19</f>
        <v>19.56566862934864</v>
      </c>
      <c r="O50">
        <f>'wave data'!U20</f>
        <v>19.802911529145092</v>
      </c>
      <c r="P50">
        <f>'wave data'!U21</f>
        <v>20.04015442894154</v>
      </c>
      <c r="Q50">
        <f>'wave data'!U22</f>
        <v>20.277397328737994</v>
      </c>
      <c r="R50">
        <f>'wave data'!U23</f>
        <v>20.514640228534446</v>
      </c>
      <c r="S50">
        <f>'wave data'!U24</f>
        <v>20.7518831283309</v>
      </c>
      <c r="T50">
        <f>'wave data'!U25</f>
        <v>20.98912602812735</v>
      </c>
      <c r="U50">
        <f>'wave data'!U26</f>
        <v>21.226368927923804</v>
      </c>
      <c r="V50">
        <f>'wave data'!U27</f>
        <v>21.463611827720257</v>
      </c>
    </row>
    <row r="51" spans="1:22" ht="12.75">
      <c r="A51" t="s">
        <v>26</v>
      </c>
      <c r="B51">
        <f>MATCH(B50,waterlines)</f>
        <v>7</v>
      </c>
      <c r="C51">
        <f aca="true" t="shared" si="16" ref="C51:V51">MATCH(C50,waterlines)</f>
        <v>7</v>
      </c>
      <c r="D51">
        <f t="shared" si="16"/>
        <v>7</v>
      </c>
      <c r="E51">
        <f t="shared" si="16"/>
        <v>7</v>
      </c>
      <c r="F51">
        <f t="shared" si="16"/>
        <v>7</v>
      </c>
      <c r="G51">
        <f t="shared" si="16"/>
        <v>7</v>
      </c>
      <c r="H51">
        <f t="shared" si="16"/>
        <v>8</v>
      </c>
      <c r="I51" s="1">
        <f t="shared" si="16"/>
        <v>8</v>
      </c>
      <c r="J51">
        <f t="shared" si="16"/>
        <v>8</v>
      </c>
      <c r="K51">
        <f t="shared" si="16"/>
        <v>8</v>
      </c>
      <c r="L51">
        <f t="shared" si="16"/>
        <v>8</v>
      </c>
      <c r="M51">
        <f t="shared" si="16"/>
        <v>8</v>
      </c>
      <c r="N51">
        <f t="shared" si="16"/>
        <v>8</v>
      </c>
      <c r="O51">
        <f t="shared" si="16"/>
        <v>8</v>
      </c>
      <c r="P51">
        <f t="shared" si="16"/>
        <v>9</v>
      </c>
      <c r="Q51">
        <f t="shared" si="16"/>
        <v>9</v>
      </c>
      <c r="R51">
        <f t="shared" si="16"/>
        <v>9</v>
      </c>
      <c r="S51">
        <f t="shared" si="16"/>
        <v>9</v>
      </c>
      <c r="T51">
        <f t="shared" si="16"/>
        <v>9</v>
      </c>
      <c r="U51">
        <f t="shared" si="16"/>
        <v>9</v>
      </c>
      <c r="V51">
        <f t="shared" si="16"/>
        <v>9</v>
      </c>
    </row>
    <row r="52" spans="1:22" ht="12.75">
      <c r="A52" t="s">
        <v>27</v>
      </c>
      <c r="B52">
        <f>INDEX(waterlines,B51)</f>
        <v>15</v>
      </c>
      <c r="C52">
        <f aca="true" t="shared" si="17" ref="C52:V52">INDEX(waterlines,C51)</f>
        <v>15</v>
      </c>
      <c r="D52">
        <f t="shared" si="17"/>
        <v>15</v>
      </c>
      <c r="E52">
        <f t="shared" si="17"/>
        <v>15</v>
      </c>
      <c r="F52">
        <f t="shared" si="17"/>
        <v>15</v>
      </c>
      <c r="G52">
        <f t="shared" si="17"/>
        <v>15</v>
      </c>
      <c r="H52">
        <f t="shared" si="17"/>
        <v>18</v>
      </c>
      <c r="I52" s="1">
        <f t="shared" si="17"/>
        <v>18</v>
      </c>
      <c r="J52">
        <f t="shared" si="17"/>
        <v>18</v>
      </c>
      <c r="K52">
        <f t="shared" si="17"/>
        <v>18</v>
      </c>
      <c r="L52">
        <f t="shared" si="17"/>
        <v>18</v>
      </c>
      <c r="M52">
        <f t="shared" si="17"/>
        <v>18</v>
      </c>
      <c r="N52">
        <f t="shared" si="17"/>
        <v>18</v>
      </c>
      <c r="O52">
        <f t="shared" si="17"/>
        <v>18</v>
      </c>
      <c r="P52">
        <f t="shared" si="17"/>
        <v>20</v>
      </c>
      <c r="Q52">
        <f t="shared" si="17"/>
        <v>20</v>
      </c>
      <c r="R52">
        <f t="shared" si="17"/>
        <v>20</v>
      </c>
      <c r="S52">
        <f t="shared" si="17"/>
        <v>20</v>
      </c>
      <c r="T52">
        <f t="shared" si="17"/>
        <v>20</v>
      </c>
      <c r="U52">
        <f t="shared" si="17"/>
        <v>20</v>
      </c>
      <c r="V52">
        <f t="shared" si="17"/>
        <v>20</v>
      </c>
    </row>
    <row r="53" spans="1:22" ht="12.75">
      <c r="A53" t="s">
        <v>199</v>
      </c>
      <c r="B53">
        <f>INDEX(waterlines,B51+1)</f>
        <v>18</v>
      </c>
      <c r="C53">
        <f aca="true" t="shared" si="18" ref="C53:V53">INDEX(waterlines,C51+1)</f>
        <v>18</v>
      </c>
      <c r="D53">
        <f t="shared" si="18"/>
        <v>18</v>
      </c>
      <c r="E53">
        <f t="shared" si="18"/>
        <v>18</v>
      </c>
      <c r="F53">
        <f t="shared" si="18"/>
        <v>18</v>
      </c>
      <c r="G53">
        <f t="shared" si="18"/>
        <v>18</v>
      </c>
      <c r="H53">
        <f t="shared" si="18"/>
        <v>20</v>
      </c>
      <c r="I53" s="1">
        <f t="shared" si="18"/>
        <v>20</v>
      </c>
      <c r="J53">
        <f t="shared" si="18"/>
        <v>20</v>
      </c>
      <c r="K53">
        <f t="shared" si="18"/>
        <v>20</v>
      </c>
      <c r="L53">
        <f t="shared" si="18"/>
        <v>20</v>
      </c>
      <c r="M53">
        <f t="shared" si="18"/>
        <v>20</v>
      </c>
      <c r="N53">
        <f t="shared" si="18"/>
        <v>20</v>
      </c>
      <c r="O53">
        <f t="shared" si="18"/>
        <v>20</v>
      </c>
      <c r="P53">
        <f t="shared" si="18"/>
        <v>25</v>
      </c>
      <c r="Q53">
        <f t="shared" si="18"/>
        <v>25</v>
      </c>
      <c r="R53">
        <f t="shared" si="18"/>
        <v>25</v>
      </c>
      <c r="S53">
        <f t="shared" si="18"/>
        <v>25</v>
      </c>
      <c r="T53">
        <f t="shared" si="18"/>
        <v>25</v>
      </c>
      <c r="U53">
        <f t="shared" si="18"/>
        <v>25</v>
      </c>
      <c r="V53">
        <f t="shared" si="18"/>
        <v>25</v>
      </c>
    </row>
    <row r="54" spans="1:22" ht="12.75">
      <c r="A54" t="s">
        <v>28</v>
      </c>
      <c r="B54">
        <f>INDEX('bonjeans data'!B9:B21,B51)</f>
        <v>0</v>
      </c>
      <c r="C54">
        <f>INDEX('bonjeans data'!C9:C21,C51)</f>
        <v>0</v>
      </c>
      <c r="D54">
        <f>INDEX('bonjeans data'!D9:D21,D51)</f>
        <v>0.055588304924242424</v>
      </c>
      <c r="E54">
        <f>INDEX('bonjeans data'!E9:E21,E51)</f>
        <v>0.5668134469696969</v>
      </c>
      <c r="F54">
        <f>INDEX('bonjeans data'!F9:F21,F51)</f>
        <v>1.0467341382575759</v>
      </c>
      <c r="G54">
        <f>INDEX('bonjeans data'!G9:G21,G51)</f>
        <v>1.1316714015151514</v>
      </c>
      <c r="H54">
        <f>INDEX('bonjeans data'!H9:H21,H51)</f>
        <v>1.5144294507575757</v>
      </c>
      <c r="I54" s="1">
        <f>INDEX('bonjeans data'!I9:I21,I51)</f>
        <v>1.6065340909090908</v>
      </c>
      <c r="J54">
        <f>INDEX('bonjeans data'!J9:J21,J51)</f>
        <v>1.6333333333333333</v>
      </c>
      <c r="K54">
        <f>INDEX('bonjeans data'!K9:K21,K51)</f>
        <v>1.6333333333333333</v>
      </c>
      <c r="L54">
        <f>INDEX('bonjeans data'!L9:L21,L51)</f>
        <v>1.6333333333333333</v>
      </c>
      <c r="M54">
        <f>INDEX('bonjeans data'!M9:M21,M51)</f>
        <v>1.6333333333333333</v>
      </c>
      <c r="N54">
        <f>INDEX('bonjeans data'!N9:N21,N51)</f>
        <v>1.562093091246897</v>
      </c>
      <c r="O54">
        <f>INDEX('bonjeans data'!O9:O21,O51)</f>
        <v>1.4462887373773314</v>
      </c>
      <c r="P54">
        <f>INDEX('bonjeans data'!P9:P21,P51)</f>
        <v>1.5366019387863339</v>
      </c>
      <c r="Q54">
        <f>INDEX('bonjeans data'!Q9:Q21,Q51)</f>
        <v>1.4312897669272182</v>
      </c>
      <c r="R54">
        <f>INDEX('bonjeans data'!R9:R21,R51)</f>
        <v>1.32775192122545</v>
      </c>
      <c r="S54">
        <f>INDEX('bonjeans data'!S9:S21,S51)</f>
        <v>1.146845174874584</v>
      </c>
      <c r="T54">
        <f>INDEX('bonjeans data'!T9:T21,T51)</f>
        <v>0.924868692401641</v>
      </c>
      <c r="U54">
        <f>INDEX('bonjeans data'!U9:U21,U51)</f>
        <v>0.735041817015735</v>
      </c>
      <c r="V54">
        <f>INDEX('bonjeans data'!V9:V21,V51)</f>
        <v>0.30397400862450885</v>
      </c>
    </row>
    <row r="55" spans="1:22" ht="12.75">
      <c r="A55" t="s">
        <v>29</v>
      </c>
      <c r="B55">
        <f>INDEX('bonjeans data'!B9:B21,B51+1)</f>
        <v>0</v>
      </c>
      <c r="C55">
        <f>INDEX('bonjeans data'!C9:C21,C51+1)</f>
        <v>0</v>
      </c>
      <c r="D55">
        <f>INDEX('bonjeans data'!D9:D21,D51+1)</f>
        <v>0.18846946022727273</v>
      </c>
      <c r="E55">
        <f>INDEX('bonjeans data'!E9:E21,E51+1)</f>
        <v>0.8254711174242424</v>
      </c>
      <c r="F55">
        <f>INDEX('bonjeans data'!F9:F21,F51+1)</f>
        <v>1.336245265151515</v>
      </c>
      <c r="G55">
        <f>INDEX('bonjeans data'!G9:G21,G51+1)</f>
        <v>1.4248579545454545</v>
      </c>
      <c r="H55">
        <f>INDEX('bonjeans data'!H9:H21,H51+1)</f>
        <v>1.7138375946969695</v>
      </c>
      <c r="I55" s="1">
        <f>INDEX('bonjeans data'!I9:I21,I51+1)</f>
        <v>1.806628787878788</v>
      </c>
      <c r="J55">
        <f>INDEX('bonjeans data'!J9:J21,J51+1)</f>
        <v>1.8333333333333333</v>
      </c>
      <c r="K55">
        <f>INDEX('bonjeans data'!K9:K21,K51+1)</f>
        <v>1.8333333333333333</v>
      </c>
      <c r="L55">
        <f>INDEX('bonjeans data'!L9:L21,L51+1)</f>
        <v>1.8333333333333333</v>
      </c>
      <c r="M55">
        <f>INDEX('bonjeans data'!M9:M21,M51+1)</f>
        <v>1.8333333333333333</v>
      </c>
      <c r="N55">
        <f>INDEX('bonjeans data'!N9:N21,N51+1)</f>
        <v>1.7617047839485236</v>
      </c>
      <c r="O55">
        <f>INDEX('bonjeans data'!O9:O21,O51+1)</f>
        <v>1.6451788707749697</v>
      </c>
      <c r="P55">
        <f>INDEX('bonjeans data'!P9:P21,P51+1)</f>
        <v>2.0365833922448435</v>
      </c>
      <c r="Q55">
        <f>INDEX('bonjeans data'!Q9:Q21,Q51+1)</f>
        <v>1.9312712203857276</v>
      </c>
      <c r="R55">
        <f>INDEX('bonjeans data'!R9:R21,R51+1)</f>
        <v>1.826585977102208</v>
      </c>
      <c r="S55">
        <f>INDEX('bonjeans data'!S9:S21,S51+1)</f>
        <v>1.6269979420826794</v>
      </c>
      <c r="T55">
        <f>INDEX('bonjeans data'!T9:T21,T51+1)</f>
        <v>1.372772490257888</v>
      </c>
      <c r="U55">
        <f>INDEX('bonjeans data'!U9:U21,U51+1)</f>
        <v>1.1516299410788984</v>
      </c>
      <c r="V55">
        <f>INDEX('bonjeans data'!V9:V21,V51+1)</f>
        <v>0.5017865346025847</v>
      </c>
    </row>
    <row r="56" spans="1:22" ht="12.75">
      <c r="A56" t="s">
        <v>30</v>
      </c>
      <c r="B56">
        <f>(B50-B52)/(B53-B52)*(B55-B54)+B54</f>
        <v>0</v>
      </c>
      <c r="C56">
        <f aca="true" t="shared" si="19" ref="C56:U56">(C50-C52)/(C53-C52)*(C55-C54)+C54</f>
        <v>0</v>
      </c>
      <c r="D56">
        <f t="shared" si="19"/>
        <v>0.15273504361581366</v>
      </c>
      <c r="E56">
        <f t="shared" si="19"/>
        <v>0.7763677635015747</v>
      </c>
      <c r="F56">
        <f t="shared" si="19"/>
        <v>1.3041795368461684</v>
      </c>
      <c r="G56">
        <f t="shared" si="19"/>
        <v>1.4155706187023742</v>
      </c>
      <c r="H56">
        <f t="shared" si="19"/>
        <v>1.528608489525219</v>
      </c>
      <c r="I56" s="1">
        <f t="shared" si="19"/>
        <v>1.6444974705238709</v>
      </c>
      <c r="J56">
        <f t="shared" si="19"/>
        <v>1.6950030363496162</v>
      </c>
      <c r="K56">
        <f t="shared" si="19"/>
        <v>1.7187273263292615</v>
      </c>
      <c r="L56">
        <f t="shared" si="19"/>
        <v>1.7424516163089068</v>
      </c>
      <c r="M56">
        <f t="shared" si="19"/>
        <v>1.766175906288552</v>
      </c>
      <c r="N56">
        <f t="shared" si="19"/>
        <v>1.7183559739039558</v>
      </c>
      <c r="O56">
        <f t="shared" si="19"/>
        <v>1.625579394645235</v>
      </c>
      <c r="P56">
        <f t="shared" si="19"/>
        <v>1.5406172327353316</v>
      </c>
      <c r="Q56">
        <f t="shared" si="19"/>
        <v>1.4590284708488042</v>
      </c>
      <c r="R56">
        <f t="shared" si="19"/>
        <v>1.379095935728886</v>
      </c>
      <c r="S56">
        <f t="shared" si="19"/>
        <v>1.2190489278116161</v>
      </c>
      <c r="T56">
        <f t="shared" si="19"/>
        <v>1.013475353312982</v>
      </c>
      <c r="U56">
        <f t="shared" si="19"/>
        <v>0.8372199632343611</v>
      </c>
      <c r="V56">
        <f>(V50-V52)/(V53-V52)*(V55-V54)+V54</f>
        <v>0.3618781591630553</v>
      </c>
    </row>
    <row r="57" spans="1:22" ht="12.75">
      <c r="A57" t="s">
        <v>97</v>
      </c>
      <c r="B57" s="1">
        <f>'wave data'!I33</f>
        <v>0</v>
      </c>
      <c r="C57" s="1">
        <f>'wave data'!I34</f>
        <v>22</v>
      </c>
      <c r="D57" s="1">
        <f>'wave data'!I35</f>
        <v>44</v>
      </c>
      <c r="E57" s="1">
        <f>'wave data'!I36</f>
        <v>66</v>
      </c>
      <c r="F57" s="1">
        <f>'wave data'!I37</f>
        <v>88</v>
      </c>
      <c r="G57" s="1">
        <f>'wave data'!I38</f>
        <v>110</v>
      </c>
      <c r="H57" s="1">
        <f>'wave data'!I39</f>
        <v>132</v>
      </c>
      <c r="I57" s="1">
        <f>'wave data'!I40</f>
        <v>154</v>
      </c>
      <c r="J57" s="1">
        <f>'wave data'!I41</f>
        <v>176</v>
      </c>
      <c r="K57" s="1">
        <f>'wave data'!I42</f>
        <v>198</v>
      </c>
      <c r="L57" s="1">
        <f>'wave data'!I43</f>
        <v>220</v>
      </c>
      <c r="M57" s="1">
        <f>'wave data'!I44</f>
        <v>242</v>
      </c>
      <c r="N57" s="1">
        <f>'wave data'!I45</f>
        <v>264</v>
      </c>
      <c r="O57" s="1">
        <f>'wave data'!I46</f>
        <v>286</v>
      </c>
      <c r="P57" s="1">
        <f>'wave data'!I47</f>
        <v>308</v>
      </c>
      <c r="Q57" s="1">
        <f>'wave data'!I48</f>
        <v>330</v>
      </c>
      <c r="R57" s="1">
        <f>'wave data'!I49</f>
        <v>352</v>
      </c>
      <c r="S57" s="1">
        <f>'wave data'!I50</f>
        <v>374</v>
      </c>
      <c r="T57" s="1">
        <f>'wave data'!I51</f>
        <v>396</v>
      </c>
      <c r="U57" s="1">
        <f>'wave data'!I52</f>
        <v>418</v>
      </c>
      <c r="V57" s="1">
        <f>'wave data'!I53</f>
        <v>440</v>
      </c>
    </row>
    <row r="58" spans="1:23" ht="12.75">
      <c r="A58" t="s">
        <v>38</v>
      </c>
      <c r="B58">
        <f aca="true" t="shared" si="20" ref="B58:V58">B56*sa_scale_factor</f>
        <v>0</v>
      </c>
      <c r="C58">
        <f t="shared" si="20"/>
        <v>0</v>
      </c>
      <c r="D58">
        <f t="shared" si="20"/>
        <v>91.6410261694882</v>
      </c>
      <c r="E58">
        <f t="shared" si="20"/>
        <v>465.8206581009448</v>
      </c>
      <c r="F58">
        <f t="shared" si="20"/>
        <v>782.507722107701</v>
      </c>
      <c r="G58">
        <f t="shared" si="20"/>
        <v>849.3423712214245</v>
      </c>
      <c r="H58">
        <f t="shared" si="20"/>
        <v>917.1650937151314</v>
      </c>
      <c r="I58" s="1">
        <f t="shared" si="20"/>
        <v>986.6984823143225</v>
      </c>
      <c r="J58">
        <f t="shared" si="20"/>
        <v>1017.0018218097697</v>
      </c>
      <c r="K58">
        <f t="shared" si="20"/>
        <v>1031.236395797557</v>
      </c>
      <c r="L58">
        <f t="shared" si="20"/>
        <v>1045.470969785344</v>
      </c>
      <c r="M58">
        <f t="shared" si="20"/>
        <v>1059.7055437731312</v>
      </c>
      <c r="N58">
        <f t="shared" si="20"/>
        <v>1031.0135843423734</v>
      </c>
      <c r="O58">
        <f t="shared" si="20"/>
        <v>975.347636787141</v>
      </c>
      <c r="P58">
        <f t="shared" si="20"/>
        <v>924.3703396411989</v>
      </c>
      <c r="Q58">
        <f t="shared" si="20"/>
        <v>875.4170825092825</v>
      </c>
      <c r="R58">
        <f t="shared" si="20"/>
        <v>827.4575614373315</v>
      </c>
      <c r="S58">
        <f t="shared" si="20"/>
        <v>731.4293566869696</v>
      </c>
      <c r="T58">
        <f t="shared" si="20"/>
        <v>608.0852119877893</v>
      </c>
      <c r="U58">
        <f t="shared" si="20"/>
        <v>502.33197794061664</v>
      </c>
      <c r="V58">
        <f t="shared" si="20"/>
        <v>217.1268954978332</v>
      </c>
      <c r="W58">
        <f>SUM(B58:V58)</f>
        <v>14939.16973162535</v>
      </c>
    </row>
    <row r="59" spans="1:23" ht="12.75">
      <c r="A59" t="s">
        <v>182</v>
      </c>
      <c r="B59">
        <f>(B58+C58)/2</f>
        <v>0</v>
      </c>
      <c r="C59">
        <f aca="true" t="shared" si="21" ref="C59:U59">(C58+D58)/2</f>
        <v>45.8205130847441</v>
      </c>
      <c r="D59">
        <f t="shared" si="21"/>
        <v>278.7308421352165</v>
      </c>
      <c r="E59">
        <f t="shared" si="21"/>
        <v>624.1641901043229</v>
      </c>
      <c r="F59">
        <f t="shared" si="21"/>
        <v>815.9250466645628</v>
      </c>
      <c r="G59">
        <f t="shared" si="21"/>
        <v>883.253732468278</v>
      </c>
      <c r="H59">
        <f t="shared" si="21"/>
        <v>951.931788014727</v>
      </c>
      <c r="I59">
        <f t="shared" si="21"/>
        <v>1001.8501520620462</v>
      </c>
      <c r="J59">
        <f t="shared" si="21"/>
        <v>1024.1191088036633</v>
      </c>
      <c r="K59">
        <f t="shared" si="21"/>
        <v>1038.3536827914504</v>
      </c>
      <c r="L59">
        <f t="shared" si="21"/>
        <v>1052.5882567792378</v>
      </c>
      <c r="M59">
        <f t="shared" si="21"/>
        <v>1045.3595640577523</v>
      </c>
      <c r="N59">
        <f t="shared" si="21"/>
        <v>1003.1806105647572</v>
      </c>
      <c r="O59">
        <f t="shared" si="21"/>
        <v>949.85898821417</v>
      </c>
      <c r="P59">
        <f t="shared" si="21"/>
        <v>899.8937110752407</v>
      </c>
      <c r="Q59">
        <f t="shared" si="21"/>
        <v>851.437321973307</v>
      </c>
      <c r="R59">
        <f t="shared" si="21"/>
        <v>779.4434590621506</v>
      </c>
      <c r="S59">
        <f t="shared" si="21"/>
        <v>669.7572843373795</v>
      </c>
      <c r="T59">
        <f t="shared" si="21"/>
        <v>555.208594964203</v>
      </c>
      <c r="U59">
        <f t="shared" si="21"/>
        <v>359.7294367192249</v>
      </c>
      <c r="W59">
        <f>SUM(B59:V59)</f>
        <v>14830.606283876436</v>
      </c>
    </row>
    <row r="60" spans="1:23" ht="12.75">
      <c r="A60" t="s">
        <v>183</v>
      </c>
      <c r="B60" s="1">
        <f>B59*section_spacing/cu_ft_per_ton</f>
        <v>0</v>
      </c>
      <c r="C60" s="1">
        <f aca="true" t="shared" si="22" ref="C60:U60">C59*section_spacing/cu_ft_per_ton</f>
        <v>28.821626330982554</v>
      </c>
      <c r="D60" s="1">
        <f t="shared" si="22"/>
        <v>175.32488481924128</v>
      </c>
      <c r="E60" s="1">
        <f t="shared" si="22"/>
        <v>392.6064080316184</v>
      </c>
      <c r="F60" s="1">
        <f t="shared" si="22"/>
        <v>513.2261780998095</v>
      </c>
      <c r="G60" s="1">
        <f t="shared" si="22"/>
        <v>555.5766908494563</v>
      </c>
      <c r="H60" s="1">
        <f t="shared" si="22"/>
        <v>598.7759725868156</v>
      </c>
      <c r="I60" s="1">
        <f t="shared" si="22"/>
        <v>630.1751940002661</v>
      </c>
      <c r="J60" s="1">
        <f t="shared" si="22"/>
        <v>644.1826222628142</v>
      </c>
      <c r="K60" s="1">
        <f t="shared" si="22"/>
        <v>653.1363319626151</v>
      </c>
      <c r="L60" s="1">
        <f t="shared" si="22"/>
        <v>662.0900416624161</v>
      </c>
      <c r="M60" s="1">
        <f t="shared" si="22"/>
        <v>657.5431113368037</v>
      </c>
      <c r="N60" s="1">
        <f t="shared" si="22"/>
        <v>631.0120676019017</v>
      </c>
      <c r="O60" s="1">
        <f t="shared" si="22"/>
        <v>597.4721578259442</v>
      </c>
      <c r="P60" s="1">
        <f t="shared" si="22"/>
        <v>566.0434275417851</v>
      </c>
      <c r="Q60" s="1">
        <f t="shared" si="22"/>
        <v>535.5638050752785</v>
      </c>
      <c r="R60" s="1">
        <f t="shared" si="22"/>
        <v>490.27884261508734</v>
      </c>
      <c r="S60" s="1">
        <f t="shared" si="22"/>
        <v>421.28498530612626</v>
      </c>
      <c r="T60" s="1">
        <f t="shared" si="22"/>
        <v>349.2325507183366</v>
      </c>
      <c r="U60" s="1">
        <f t="shared" si="22"/>
        <v>226.27392640062658</v>
      </c>
      <c r="W60" s="1">
        <f>SUM(B60:V60)</f>
        <v>9328.620825027925</v>
      </c>
    </row>
    <row r="61" spans="1:23" ht="12.75">
      <c r="A61" t="s">
        <v>42</v>
      </c>
      <c r="B61" s="1">
        <f aca="true" t="shared" si="23" ref="B61:U61">B60*(9.5-B49)</f>
        <v>0</v>
      </c>
      <c r="C61" s="1">
        <f t="shared" si="23"/>
        <v>244.9838238133517</v>
      </c>
      <c r="D61" s="1">
        <f t="shared" si="23"/>
        <v>1314.9366361443097</v>
      </c>
      <c r="E61" s="1">
        <f t="shared" si="23"/>
        <v>2551.9416522055194</v>
      </c>
      <c r="F61" s="1">
        <f t="shared" si="23"/>
        <v>2822.7439795489527</v>
      </c>
      <c r="G61" s="1">
        <f t="shared" si="23"/>
        <v>2500.0951088225534</v>
      </c>
      <c r="H61" s="1">
        <f t="shared" si="23"/>
        <v>2095.7159040538545</v>
      </c>
      <c r="I61" s="1">
        <f t="shared" si="23"/>
        <v>1575.437985000665</v>
      </c>
      <c r="J61" s="1">
        <f t="shared" si="23"/>
        <v>966.2739333942213</v>
      </c>
      <c r="K61" s="1">
        <f t="shared" si="23"/>
        <v>326.5681659813076</v>
      </c>
      <c r="L61" s="1">
        <f t="shared" si="23"/>
        <v>-331.04502083120803</v>
      </c>
      <c r="M61" s="1">
        <f t="shared" si="23"/>
        <v>-986.3146670052056</v>
      </c>
      <c r="N61" s="1">
        <f t="shared" si="23"/>
        <v>-1577.530169004754</v>
      </c>
      <c r="O61" s="1">
        <f t="shared" si="23"/>
        <v>-2091.152552390805</v>
      </c>
      <c r="P61" s="1">
        <f t="shared" si="23"/>
        <v>-2547.195423938033</v>
      </c>
      <c r="Q61" s="1">
        <f t="shared" si="23"/>
        <v>-2945.600927914032</v>
      </c>
      <c r="R61" s="1">
        <f t="shared" si="23"/>
        <v>-3186.8124769980677</v>
      </c>
      <c r="S61" s="1">
        <f t="shared" si="23"/>
        <v>-3159.637389795947</v>
      </c>
      <c r="T61" s="1">
        <f t="shared" si="23"/>
        <v>-2968.476681105861</v>
      </c>
      <c r="U61" s="1">
        <f t="shared" si="23"/>
        <v>-2149.6023008059524</v>
      </c>
      <c r="V61" s="1"/>
      <c r="W61">
        <f>SUM(B61:V61)</f>
        <v>-7544.670420825132</v>
      </c>
    </row>
    <row r="63" spans="4:13" ht="12.75">
      <c r="D63" s="9"/>
      <c r="M63" s="2"/>
    </row>
    <row r="64" spans="4:13" ht="12.75">
      <c r="D64" s="9"/>
      <c r="M64" s="2"/>
    </row>
    <row r="65" ht="12.75">
      <c r="D65" s="9"/>
    </row>
    <row r="68" ht="12.75">
      <c r="G68" s="31"/>
    </row>
  </sheetData>
  <printOptions/>
  <pageMargins left="0.75" right="0.75" top="1" bottom="1" header="0.5" footer="0.5"/>
  <pageSetup horizontalDpi="300" verticalDpi="300" orientation="landscape" scale="60" r:id="rId3"/>
  <headerFooter alignWithMargins="0">
    <oddFooter>&amp;C&amp;F, &amp;A&amp;R&amp;D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G30"/>
  <sheetViews>
    <sheetView workbookViewId="0" topLeftCell="A1">
      <selection activeCell="F7" sqref="F7"/>
    </sheetView>
  </sheetViews>
  <sheetFormatPr defaultColWidth="9.140625" defaultRowHeight="12.75"/>
  <cols>
    <col min="5" max="5" width="9.57421875" style="0" bestFit="1" customWidth="1"/>
    <col min="7" max="7" width="11.8515625" style="0" customWidth="1"/>
  </cols>
  <sheetData>
    <row r="1" spans="1:2" ht="12.75">
      <c r="A1" s="14" t="s">
        <v>88</v>
      </c>
      <c r="B1" s="14"/>
    </row>
    <row r="4" spans="1:7" ht="12.75">
      <c r="A4" t="s">
        <v>79</v>
      </c>
      <c r="B4" s="23" t="s">
        <v>126</v>
      </c>
      <c r="E4" t="s">
        <v>82</v>
      </c>
      <c r="F4" t="s">
        <v>93</v>
      </c>
      <c r="G4" t="s">
        <v>95</v>
      </c>
    </row>
    <row r="5" spans="1:7" ht="12.75">
      <c r="A5" t="s">
        <v>80</v>
      </c>
      <c r="B5" s="21" t="s">
        <v>127</v>
      </c>
      <c r="C5" t="s">
        <v>81</v>
      </c>
      <c r="E5" t="s">
        <v>81</v>
      </c>
      <c r="F5" t="s">
        <v>81</v>
      </c>
      <c r="G5" t="s">
        <v>134</v>
      </c>
    </row>
    <row r="6" spans="1:7" ht="12.75">
      <c r="A6">
        <f>weight!B6</f>
        <v>0</v>
      </c>
      <c r="D6" t="s">
        <v>85</v>
      </c>
      <c r="E6" t="s">
        <v>133</v>
      </c>
      <c r="F6" s="1">
        <v>0</v>
      </c>
      <c r="G6" s="15">
        <v>0</v>
      </c>
    </row>
    <row r="7" spans="1:7" ht="12.75">
      <c r="A7">
        <f>weight!B7</f>
        <v>1</v>
      </c>
      <c r="B7" s="22" t="s">
        <v>106</v>
      </c>
      <c r="C7" s="15">
        <f>weight!D7</f>
        <v>77.91964285714286</v>
      </c>
      <c r="D7" s="15">
        <f>weight!G7</f>
        <v>11</v>
      </c>
      <c r="E7" s="15">
        <f aca="true" t="shared" si="0" ref="E7:E26">((D7-INDEX(x_sta_hog,MATCH(D7,x_sta_hog)))/(INDEX(x_sta_hog,MATCH(D7,x_sta_hog)+1)-INDEX(x_sta_hog,MATCH(D7,x_sta_hog)))*(INDEX(interpolated_area_hogging,MATCH(D7,x_sta_hog)+1)-INDEX(interpolated_area_hogging,MATCH(D7,x_sta_hog)))+INDEX(interpolated_area_hogging,MATCH(D7,x_sta_hog)))*sa_scale_factor*section_spacing/cu_ft_per_ton</f>
        <v>0</v>
      </c>
      <c r="F7" s="15">
        <f>E7-C7+F6</f>
        <v>-77.91964285714286</v>
      </c>
      <c r="G7" s="15">
        <v>0</v>
      </c>
    </row>
    <row r="8" spans="1:7" ht="12.75">
      <c r="A8">
        <f>weight!B8</f>
        <v>2</v>
      </c>
      <c r="B8" s="22" t="s">
        <v>107</v>
      </c>
      <c r="C8" s="15">
        <f>weight!D8</f>
        <v>85.18883928571428</v>
      </c>
      <c r="D8" s="15">
        <f>weight!G8</f>
        <v>33</v>
      </c>
      <c r="E8" s="15">
        <f t="shared" si="0"/>
        <v>0</v>
      </c>
      <c r="F8" s="15">
        <f aca="true" t="shared" si="1" ref="F8:F26">E8-C8+F7</f>
        <v>-163.10848214285716</v>
      </c>
      <c r="G8" s="15">
        <f>(F7+F8)/2*section_spacing+G7</f>
        <v>-2651.3093750000003</v>
      </c>
    </row>
    <row r="9" spans="1:7" ht="12.75">
      <c r="A9">
        <f>weight!B9</f>
        <v>3</v>
      </c>
      <c r="B9" s="22" t="s">
        <v>108</v>
      </c>
      <c r="C9" s="15">
        <f>weight!D9</f>
        <v>120.93883928571428</v>
      </c>
      <c r="D9" s="15">
        <f>weight!G9</f>
        <v>55</v>
      </c>
      <c r="E9" s="15">
        <f t="shared" si="0"/>
        <v>2.6577074969176766</v>
      </c>
      <c r="F9" s="15">
        <f t="shared" si="1"/>
        <v>-281.38961393165374</v>
      </c>
      <c r="G9" s="15">
        <f aca="true" t="shared" si="2" ref="G9:G26">(F8+F9)/2*section_spacing+G8</f>
        <v>-7540.788431819619</v>
      </c>
    </row>
    <row r="10" spans="1:7" ht="12.75">
      <c r="A10">
        <f>weight!B10</f>
        <v>4</v>
      </c>
      <c r="B10" s="22" t="s">
        <v>109</v>
      </c>
      <c r="C10" s="15">
        <f>weight!D10</f>
        <v>192.2799107142857</v>
      </c>
      <c r="D10" s="15">
        <f>weight!G10</f>
        <v>77</v>
      </c>
      <c r="E10" s="15">
        <f t="shared" si="0"/>
        <v>77.4419537044551</v>
      </c>
      <c r="F10" s="15">
        <f t="shared" si="1"/>
        <v>-396.2275709414844</v>
      </c>
      <c r="G10" s="15">
        <f t="shared" si="2"/>
        <v>-14994.577465424138</v>
      </c>
    </row>
    <row r="11" spans="1:7" ht="12.75">
      <c r="A11">
        <f>weight!B11</f>
        <v>5</v>
      </c>
      <c r="B11" s="22" t="s">
        <v>110</v>
      </c>
      <c r="C11" s="15">
        <f>weight!D11</f>
        <v>301.6299107142857</v>
      </c>
      <c r="D11" s="15">
        <f>weight!G11</f>
        <v>99</v>
      </c>
      <c r="E11" s="15">
        <f t="shared" si="0"/>
        <v>222.58530845216478</v>
      </c>
      <c r="F11" s="15">
        <f t="shared" si="1"/>
        <v>-475.2721732036053</v>
      </c>
      <c r="G11" s="15">
        <f t="shared" si="2"/>
        <v>-24581.07465102012</v>
      </c>
    </row>
    <row r="12" spans="1:7" ht="12.75">
      <c r="A12">
        <f>weight!B12</f>
        <v>6</v>
      </c>
      <c r="B12" s="22" t="s">
        <v>111</v>
      </c>
      <c r="C12" s="15">
        <f>weight!D12</f>
        <v>421.2919642857143</v>
      </c>
      <c r="D12" s="15">
        <f>weight!G12</f>
        <v>121</v>
      </c>
      <c r="E12" s="15">
        <f t="shared" si="0"/>
        <v>385.50038644355953</v>
      </c>
      <c r="F12" s="15">
        <f t="shared" si="1"/>
        <v>-511.06375104576006</v>
      </c>
      <c r="G12" s="15">
        <f t="shared" si="2"/>
        <v>-35430.76981776314</v>
      </c>
    </row>
    <row r="13" spans="1:7" ht="12.75">
      <c r="A13">
        <f>weight!B13</f>
        <v>7</v>
      </c>
      <c r="B13" s="22" t="s">
        <v>112</v>
      </c>
      <c r="C13" s="15">
        <f>weight!D13</f>
        <v>530.2924107142857</v>
      </c>
      <c r="D13" s="15">
        <f>weight!G13</f>
        <v>143</v>
      </c>
      <c r="E13" s="15">
        <f t="shared" si="0"/>
        <v>576.8613139492062</v>
      </c>
      <c r="F13" s="15">
        <f t="shared" si="1"/>
        <v>-464.49484781083953</v>
      </c>
      <c r="G13" s="15">
        <f t="shared" si="2"/>
        <v>-46161.91440518574</v>
      </c>
    </row>
    <row r="14" spans="1:7" ht="12.75">
      <c r="A14">
        <f>weight!B14</f>
        <v>8</v>
      </c>
      <c r="B14" s="22" t="s">
        <v>113</v>
      </c>
      <c r="C14" s="15">
        <f>weight!D14</f>
        <v>665.0658482142857</v>
      </c>
      <c r="D14" s="15">
        <f>weight!G14</f>
        <v>165</v>
      </c>
      <c r="E14" s="15">
        <f t="shared" si="0"/>
        <v>767.5748860312356</v>
      </c>
      <c r="F14" s="15">
        <f t="shared" si="1"/>
        <v>-361.98580999388963</v>
      </c>
      <c r="G14" s="15">
        <f t="shared" si="2"/>
        <v>-55253.201641037755</v>
      </c>
    </row>
    <row r="15" spans="1:7" ht="12.75">
      <c r="A15">
        <f>weight!B15</f>
        <v>9</v>
      </c>
      <c r="B15" s="22" t="s">
        <v>114</v>
      </c>
      <c r="C15" s="15">
        <f>weight!D15</f>
        <v>798.1238839285714</v>
      </c>
      <c r="D15" s="15">
        <f>weight!G15</f>
        <v>187</v>
      </c>
      <c r="E15" s="15">
        <f t="shared" si="0"/>
        <v>927.4327260497821</v>
      </c>
      <c r="F15" s="15">
        <f t="shared" si="1"/>
        <v>-232.67696787267897</v>
      </c>
      <c r="G15" s="15">
        <f t="shared" si="2"/>
        <v>-61794.49219757001</v>
      </c>
    </row>
    <row r="16" spans="1:7" ht="12.75">
      <c r="A16">
        <f>weight!B16</f>
        <v>10</v>
      </c>
      <c r="B16" s="22" t="s">
        <v>115</v>
      </c>
      <c r="C16" s="15">
        <f>weight!D16</f>
        <v>852.6875</v>
      </c>
      <c r="D16" s="15">
        <f>weight!G16</f>
        <v>209</v>
      </c>
      <c r="E16" s="15">
        <f t="shared" si="0"/>
        <v>1034.2173270208484</v>
      </c>
      <c r="F16" s="15">
        <f t="shared" si="1"/>
        <v>-51.14714085183056</v>
      </c>
      <c r="G16" s="15">
        <f t="shared" si="2"/>
        <v>-64916.55739353962</v>
      </c>
    </row>
    <row r="17" spans="1:7" ht="12.75">
      <c r="A17">
        <f>weight!B17</f>
        <v>11</v>
      </c>
      <c r="B17" s="22" t="s">
        <v>116</v>
      </c>
      <c r="C17" s="15">
        <f>weight!D17</f>
        <v>849.6109375</v>
      </c>
      <c r="D17" s="15">
        <f>weight!G17</f>
        <v>231</v>
      </c>
      <c r="E17" s="15">
        <f t="shared" si="0"/>
        <v>1061.4777612807209</v>
      </c>
      <c r="F17" s="15">
        <f t="shared" si="1"/>
        <v>160.71968292889034</v>
      </c>
      <c r="G17" s="15">
        <f t="shared" si="2"/>
        <v>-63711.25943069196</v>
      </c>
    </row>
    <row r="18" spans="1:7" ht="12.75">
      <c r="A18">
        <f>weight!B18</f>
        <v>12</v>
      </c>
      <c r="B18" s="22" t="s">
        <v>117</v>
      </c>
      <c r="C18" s="15">
        <f>weight!D18</f>
        <v>813.4279017857143</v>
      </c>
      <c r="D18" s="15">
        <f>weight!G18</f>
        <v>253</v>
      </c>
      <c r="E18" s="15">
        <f t="shared" si="0"/>
        <v>995.6898508578518</v>
      </c>
      <c r="F18" s="15">
        <f t="shared" si="1"/>
        <v>342.9816320010278</v>
      </c>
      <c r="G18" s="15">
        <f t="shared" si="2"/>
        <v>-58170.544966462854</v>
      </c>
    </row>
    <row r="19" spans="1:7" ht="12.75">
      <c r="A19">
        <f>weight!B19</f>
        <v>13</v>
      </c>
      <c r="B19" s="22" t="s">
        <v>118</v>
      </c>
      <c r="C19" s="15">
        <f>weight!D19</f>
        <v>736.9241071428571</v>
      </c>
      <c r="D19" s="15">
        <f>weight!G19</f>
        <v>275</v>
      </c>
      <c r="E19" s="15">
        <f t="shared" si="0"/>
        <v>859.8633584057081</v>
      </c>
      <c r="F19" s="15">
        <f t="shared" si="1"/>
        <v>465.9208832638788</v>
      </c>
      <c r="G19" s="15">
        <f t="shared" si="2"/>
        <v>-49272.61729854888</v>
      </c>
    </row>
    <row r="20" spans="1:7" ht="12.75">
      <c r="A20">
        <f>weight!B20</f>
        <v>14</v>
      </c>
      <c r="B20" s="22" t="s">
        <v>119</v>
      </c>
      <c r="C20" s="15">
        <f>weight!D20</f>
        <v>646.3303571428571</v>
      </c>
      <c r="D20" s="15">
        <f>weight!G20</f>
        <v>297</v>
      </c>
      <c r="E20" s="15">
        <f t="shared" si="0"/>
        <v>703.056841665199</v>
      </c>
      <c r="F20" s="15">
        <f t="shared" si="1"/>
        <v>522.6473677862207</v>
      </c>
      <c r="G20" s="15">
        <f t="shared" si="2"/>
        <v>-38398.36653699779</v>
      </c>
    </row>
    <row r="21" spans="1:7" ht="12.75">
      <c r="A21">
        <f>weight!B21</f>
        <v>15</v>
      </c>
      <c r="B21" s="22" t="s">
        <v>120</v>
      </c>
      <c r="C21" s="15">
        <f>weight!D21</f>
        <v>577.0223214285714</v>
      </c>
      <c r="D21" s="15">
        <f>weight!G21</f>
        <v>319</v>
      </c>
      <c r="E21" s="15">
        <f t="shared" si="0"/>
        <v>555.7004438171098</v>
      </c>
      <c r="F21" s="15">
        <f t="shared" si="1"/>
        <v>501.325490174759</v>
      </c>
      <c r="G21" s="15">
        <f t="shared" si="2"/>
        <v>-27134.665099427013</v>
      </c>
    </row>
    <row r="22" spans="1:7" ht="12.75">
      <c r="A22">
        <f>weight!B22</f>
        <v>16</v>
      </c>
      <c r="B22" s="22" t="s">
        <v>121</v>
      </c>
      <c r="C22" s="15">
        <f>weight!D22</f>
        <v>511.81473214285717</v>
      </c>
      <c r="D22" s="15">
        <f>weight!G22</f>
        <v>341</v>
      </c>
      <c r="E22" s="15">
        <f t="shared" si="0"/>
        <v>428.3703086880573</v>
      </c>
      <c r="F22" s="15">
        <f t="shared" si="1"/>
        <v>417.88106671995916</v>
      </c>
      <c r="G22" s="15">
        <f t="shared" si="2"/>
        <v>-17023.392973585112</v>
      </c>
    </row>
    <row r="23" spans="1:7" ht="12.75">
      <c r="A23">
        <f>weight!B23</f>
        <v>17</v>
      </c>
      <c r="B23" s="22" t="s">
        <v>122</v>
      </c>
      <c r="C23" s="15">
        <f>weight!D23</f>
        <v>432.959375</v>
      </c>
      <c r="D23" s="15">
        <f>weight!G23</f>
        <v>363</v>
      </c>
      <c r="E23" s="15">
        <f t="shared" si="0"/>
        <v>313.95559249409047</v>
      </c>
      <c r="F23" s="15">
        <f t="shared" si="1"/>
        <v>298.8772842140496</v>
      </c>
      <c r="G23" s="15">
        <f t="shared" si="2"/>
        <v>-9139.051113311016</v>
      </c>
    </row>
    <row r="24" spans="1:7" ht="12.75">
      <c r="A24">
        <f>weight!B24</f>
        <v>18</v>
      </c>
      <c r="B24" s="22" t="s">
        <v>123</v>
      </c>
      <c r="C24" s="15">
        <f>weight!D24</f>
        <v>340.5205357142857</v>
      </c>
      <c r="D24" s="15">
        <f>weight!G24</f>
        <v>385</v>
      </c>
      <c r="E24" s="15">
        <f t="shared" si="0"/>
        <v>209.47507485069633</v>
      </c>
      <c r="F24" s="15">
        <f t="shared" si="1"/>
        <v>167.83182335046024</v>
      </c>
      <c r="G24" s="15">
        <f t="shared" si="2"/>
        <v>-4005.250930101407</v>
      </c>
    </row>
    <row r="25" spans="1:7" ht="12.75">
      <c r="A25">
        <f>weight!B25</f>
        <v>19</v>
      </c>
      <c r="B25" s="22" t="s">
        <v>124</v>
      </c>
      <c r="C25" s="15">
        <f>weight!D25</f>
        <v>237.23236607142857</v>
      </c>
      <c r="D25" s="15">
        <f>weight!G25</f>
        <v>407</v>
      </c>
      <c r="E25" s="15">
        <f t="shared" si="0"/>
        <v>130.92235082765166</v>
      </c>
      <c r="F25" s="15">
        <f t="shared" si="1"/>
        <v>61.521808106683324</v>
      </c>
      <c r="G25" s="15">
        <f t="shared" si="2"/>
        <v>-1482.3609840728277</v>
      </c>
    </row>
    <row r="26" spans="1:7" ht="12.75">
      <c r="A26">
        <f>weight!B26</f>
        <v>20</v>
      </c>
      <c r="B26" s="22" t="s">
        <v>125</v>
      </c>
      <c r="C26" s="15">
        <f>weight!D26</f>
        <v>138.7796875</v>
      </c>
      <c r="D26" s="15">
        <f>weight!G26</f>
        <v>429</v>
      </c>
      <c r="E26" s="15">
        <f t="shared" si="0"/>
        <v>68.89232747632202</v>
      </c>
      <c r="F26" s="15">
        <f t="shared" si="1"/>
        <v>-8.365551916994647</v>
      </c>
      <c r="G26" s="15">
        <f t="shared" si="2"/>
        <v>-897.6421659862523</v>
      </c>
    </row>
    <row r="27" spans="6:7" ht="12.75">
      <c r="F27" s="1"/>
      <c r="G27" s="15"/>
    </row>
    <row r="28" spans="6:7" ht="12.75">
      <c r="F28" s="1"/>
      <c r="G28" s="15"/>
    </row>
    <row r="30" spans="3:5" ht="12.75">
      <c r="C30" s="15">
        <f>SUM(C7:C29)</f>
        <v>9330.041071428572</v>
      </c>
      <c r="E30">
        <f>SUM(E7:E29)</f>
        <v>9321.675519511577</v>
      </c>
    </row>
  </sheetData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M57"/>
  <sheetViews>
    <sheetView workbookViewId="0" topLeftCell="A1">
      <selection activeCell="F7" sqref="F7:F26"/>
    </sheetView>
  </sheetViews>
  <sheetFormatPr defaultColWidth="9.140625" defaultRowHeight="12.75"/>
  <cols>
    <col min="1" max="1" width="11.00390625" style="0" customWidth="1"/>
    <col min="2" max="2" width="9.140625" style="21" customWidth="1"/>
    <col min="7" max="7" width="11.28125" style="0" customWidth="1"/>
  </cols>
  <sheetData>
    <row r="1" spans="1:2" ht="12.75">
      <c r="A1" s="14" t="s">
        <v>89</v>
      </c>
      <c r="B1" s="20"/>
    </row>
    <row r="2" ht="12.75">
      <c r="E2" s="1"/>
    </row>
    <row r="3" ht="12.75">
      <c r="A3" t="s">
        <v>79</v>
      </c>
    </row>
    <row r="4" spans="1:7" ht="12.75">
      <c r="A4" t="s">
        <v>131</v>
      </c>
      <c r="C4" t="s">
        <v>63</v>
      </c>
      <c r="E4" t="s">
        <v>82</v>
      </c>
      <c r="F4" t="s">
        <v>94</v>
      </c>
      <c r="G4" t="s">
        <v>100</v>
      </c>
    </row>
    <row r="5" spans="1:6" ht="12.75">
      <c r="A5" t="s">
        <v>132</v>
      </c>
      <c r="B5" s="21" t="s">
        <v>126</v>
      </c>
      <c r="E5" t="s">
        <v>81</v>
      </c>
      <c r="F5" t="s">
        <v>81</v>
      </c>
    </row>
    <row r="6" spans="1:8" ht="12.75">
      <c r="A6">
        <f>weight!B6</f>
        <v>0</v>
      </c>
      <c r="B6" s="21" t="s">
        <v>127</v>
      </c>
      <c r="C6" t="s">
        <v>81</v>
      </c>
      <c r="D6" t="s">
        <v>85</v>
      </c>
      <c r="E6" s="30"/>
      <c r="F6" s="1">
        <v>0</v>
      </c>
      <c r="G6" s="15">
        <v>0</v>
      </c>
      <c r="H6" s="1"/>
    </row>
    <row r="7" spans="1:8" ht="12.75">
      <c r="A7">
        <f>weight!B7</f>
        <v>1</v>
      </c>
      <c r="B7" s="22" t="s">
        <v>106</v>
      </c>
      <c r="C7">
        <f>weight!D7</f>
        <v>77.91964285714286</v>
      </c>
      <c r="D7">
        <f>weight!G7</f>
        <v>11</v>
      </c>
      <c r="E7" s="1">
        <f aca="true" t="shared" si="0" ref="E7:E26">((D7-INDEX(x_sta_sag,MATCH(D7,x_sta_sag)))/(INDEX(x_sta_sag,MATCH(D7,x_sta_sag)+1)-INDEX(x_sta_sag,MATCH(D7,x_sta_sag)))*(INDEX(interpolated_area_sagging,MATCH(D7,x_sta_sag)+1)-INDEX(interpolated_area_sagging,MATCH(D7,x_sta_sag)))+INDEX(interpolated_area_sagging,MATCH(D7,x_sta_sag)))*sa_scale_factor*section_spacing/cu_ft_per_ton</f>
        <v>159.9775305944498</v>
      </c>
      <c r="F7" s="15">
        <f>E7-C7+F6</f>
        <v>82.05788773730694</v>
      </c>
      <c r="G7" s="15">
        <v>0</v>
      </c>
      <c r="H7" s="1"/>
    </row>
    <row r="8" spans="1:8" ht="12.75">
      <c r="A8">
        <f>weight!B8</f>
        <v>2</v>
      </c>
      <c r="B8" s="22" t="s">
        <v>107</v>
      </c>
      <c r="C8">
        <f>weight!D8</f>
        <v>85.18883928571428</v>
      </c>
      <c r="D8">
        <f>weight!G8</f>
        <v>33</v>
      </c>
      <c r="E8" s="1">
        <f t="shared" si="0"/>
        <v>321.91919051969785</v>
      </c>
      <c r="F8" s="15">
        <f aca="true" t="shared" si="1" ref="F8:F26">E8-C8+F7</f>
        <v>318.7882389712905</v>
      </c>
      <c r="G8" s="15">
        <f>(F7+F8)/2*section_spacing+G7</f>
        <v>4409.307393794572</v>
      </c>
      <c r="H8" s="1"/>
    </row>
    <row r="9" spans="1:8" ht="12.75">
      <c r="A9">
        <f>weight!B9</f>
        <v>3</v>
      </c>
      <c r="B9" s="22" t="s">
        <v>108</v>
      </c>
      <c r="C9">
        <f>weight!D9</f>
        <v>120.93883928571428</v>
      </c>
      <c r="D9">
        <f>weight!G9</f>
        <v>55</v>
      </c>
      <c r="E9" s="1">
        <f t="shared" si="0"/>
        <v>484.31253414561246</v>
      </c>
      <c r="F9" s="15">
        <f t="shared" si="1"/>
        <v>682.1619338311887</v>
      </c>
      <c r="G9" s="15">
        <f aca="true" t="shared" si="2" ref="G9:G26">(F8+F9)/2*section_spacing+G8</f>
        <v>15419.759294621843</v>
      </c>
      <c r="H9" s="1"/>
    </row>
    <row r="10" spans="1:8" ht="12.75">
      <c r="A10">
        <f>weight!B10</f>
        <v>4</v>
      </c>
      <c r="B10" s="22" t="s">
        <v>109</v>
      </c>
      <c r="C10">
        <f>weight!D10</f>
        <v>192.2799107142857</v>
      </c>
      <c r="D10">
        <f>weight!G10</f>
        <v>77</v>
      </c>
      <c r="E10" s="1">
        <f t="shared" si="0"/>
        <v>607.0607835520348</v>
      </c>
      <c r="F10" s="15">
        <f t="shared" si="1"/>
        <v>1096.9428066689377</v>
      </c>
      <c r="G10" s="15">
        <f t="shared" si="2"/>
        <v>34989.91144012324</v>
      </c>
      <c r="H10" s="1"/>
    </row>
    <row r="11" spans="1:8" ht="12.75">
      <c r="A11">
        <f>weight!B11</f>
        <v>5</v>
      </c>
      <c r="B11" s="22" t="s">
        <v>110</v>
      </c>
      <c r="C11">
        <f>weight!D11</f>
        <v>301.6299107142857</v>
      </c>
      <c r="D11">
        <f>weight!G11</f>
        <v>99</v>
      </c>
      <c r="E11" s="1">
        <f t="shared" si="0"/>
        <v>597.6748828692612</v>
      </c>
      <c r="F11" s="15">
        <f t="shared" si="1"/>
        <v>1392.9877788239132</v>
      </c>
      <c r="G11" s="15">
        <f t="shared" si="2"/>
        <v>62379.147880544595</v>
      </c>
      <c r="H11" s="1"/>
    </row>
    <row r="12" spans="1:8" ht="12.75">
      <c r="A12">
        <f>weight!B12</f>
        <v>6</v>
      </c>
      <c r="B12" s="22" t="s">
        <v>111</v>
      </c>
      <c r="C12">
        <f>weight!D12</f>
        <v>421.2919642857143</v>
      </c>
      <c r="D12">
        <f>weight!G12</f>
        <v>121</v>
      </c>
      <c r="E12" s="1">
        <f t="shared" si="0"/>
        <v>517.2474068703795</v>
      </c>
      <c r="F12" s="15">
        <f t="shared" si="1"/>
        <v>1488.9432214085784</v>
      </c>
      <c r="G12" s="15">
        <f t="shared" si="2"/>
        <v>94080.388883102</v>
      </c>
      <c r="H12" s="1"/>
    </row>
    <row r="13" spans="1:8" ht="12.75">
      <c r="A13">
        <f>weight!B13</f>
        <v>7</v>
      </c>
      <c r="B13" s="22" t="s">
        <v>112</v>
      </c>
      <c r="C13">
        <f>weight!D13</f>
        <v>530.2924107142857</v>
      </c>
      <c r="D13">
        <f>weight!G13</f>
        <v>143</v>
      </c>
      <c r="E13" s="1">
        <f t="shared" si="0"/>
        <v>458.35056268998545</v>
      </c>
      <c r="F13" s="15">
        <f t="shared" si="1"/>
        <v>1417.0013733842782</v>
      </c>
      <c r="G13" s="15">
        <f t="shared" si="2"/>
        <v>126045.77942582342</v>
      </c>
      <c r="H13" s="1"/>
    </row>
    <row r="14" spans="1:8" ht="12.75">
      <c r="A14">
        <f>weight!B14</f>
        <v>8</v>
      </c>
      <c r="B14" s="22" t="s">
        <v>113</v>
      </c>
      <c r="C14">
        <f>weight!D14</f>
        <v>665.0658482142857</v>
      </c>
      <c r="D14">
        <f>weight!G14</f>
        <v>165</v>
      </c>
      <c r="E14" s="1">
        <f t="shared" si="0"/>
        <v>410.0244965808718</v>
      </c>
      <c r="F14" s="15">
        <f t="shared" si="1"/>
        <v>1161.9600217508644</v>
      </c>
      <c r="G14" s="15">
        <f t="shared" si="2"/>
        <v>154414.35477230998</v>
      </c>
      <c r="H14" s="1"/>
    </row>
    <row r="15" spans="1:8" ht="12.75">
      <c r="A15">
        <f>weight!B15</f>
        <v>9</v>
      </c>
      <c r="B15" s="22" t="s">
        <v>114</v>
      </c>
      <c r="C15">
        <f>weight!D15</f>
        <v>798.1238839285714</v>
      </c>
      <c r="D15">
        <f>weight!G15</f>
        <v>187</v>
      </c>
      <c r="E15" s="1">
        <f t="shared" si="0"/>
        <v>368.68152996402154</v>
      </c>
      <c r="F15" s="15">
        <f t="shared" si="1"/>
        <v>732.5176677863144</v>
      </c>
      <c r="G15" s="15">
        <f t="shared" si="2"/>
        <v>175253.60935721896</v>
      </c>
      <c r="H15" s="1"/>
    </row>
    <row r="16" spans="1:8" ht="12.75">
      <c r="A16">
        <f>weight!B16</f>
        <v>10</v>
      </c>
      <c r="B16" s="22" t="s">
        <v>115</v>
      </c>
      <c r="C16">
        <f>weight!D16</f>
        <v>852.6875</v>
      </c>
      <c r="D16">
        <f>weight!G16</f>
        <v>209</v>
      </c>
      <c r="E16" s="1">
        <f t="shared" si="0"/>
        <v>346.82860400134956</v>
      </c>
      <c r="F16" s="15">
        <f t="shared" si="1"/>
        <v>226.65877178766397</v>
      </c>
      <c r="G16" s="15">
        <f t="shared" si="2"/>
        <v>185804.5501925327</v>
      </c>
      <c r="H16" s="1"/>
    </row>
    <row r="17" spans="1:8" ht="12.75">
      <c r="A17">
        <f>weight!B17</f>
        <v>11</v>
      </c>
      <c r="B17" s="22" t="s">
        <v>116</v>
      </c>
      <c r="C17">
        <f>weight!D17</f>
        <v>849.6109375</v>
      </c>
      <c r="D17">
        <f>weight!G17</f>
        <v>231</v>
      </c>
      <c r="E17" s="1">
        <f t="shared" si="0"/>
        <v>349.2770704906586</v>
      </c>
      <c r="F17" s="15">
        <f t="shared" si="1"/>
        <v>-273.6750952216774</v>
      </c>
      <c r="G17" s="15">
        <f t="shared" si="2"/>
        <v>185287.37063475855</v>
      </c>
      <c r="H17" s="1"/>
    </row>
    <row r="18" spans="1:8" ht="12.75">
      <c r="A18">
        <f>weight!B18</f>
        <v>12</v>
      </c>
      <c r="B18" s="22" t="s">
        <v>117</v>
      </c>
      <c r="C18">
        <f>weight!D18</f>
        <v>813.4279017857143</v>
      </c>
      <c r="D18">
        <f>weight!G18</f>
        <v>253</v>
      </c>
      <c r="E18" s="1">
        <f t="shared" si="0"/>
        <v>363.8581117788279</v>
      </c>
      <c r="F18" s="15">
        <f t="shared" si="1"/>
        <v>-723.2448852285638</v>
      </c>
      <c r="G18" s="15">
        <f t="shared" si="2"/>
        <v>174321.2508498059</v>
      </c>
      <c r="H18" s="1"/>
    </row>
    <row r="19" spans="1:8" ht="12.75">
      <c r="A19">
        <f>weight!B19</f>
        <v>13</v>
      </c>
      <c r="B19" s="22" t="s">
        <v>118</v>
      </c>
      <c r="C19">
        <f>weight!D19</f>
        <v>736.9241071428571</v>
      </c>
      <c r="D19">
        <f>weight!G19</f>
        <v>275</v>
      </c>
      <c r="E19" s="1">
        <f t="shared" si="0"/>
        <v>381.60795867047756</v>
      </c>
      <c r="F19" s="15">
        <f t="shared" si="1"/>
        <v>-1078.5610337009434</v>
      </c>
      <c r="G19" s="15">
        <f t="shared" si="2"/>
        <v>154501.38574158133</v>
      </c>
      <c r="H19" s="1"/>
    </row>
    <row r="20" spans="1:8" ht="12.75">
      <c r="A20">
        <f>weight!B20</f>
        <v>14</v>
      </c>
      <c r="B20" s="22" t="s">
        <v>119</v>
      </c>
      <c r="C20">
        <f>weight!D20</f>
        <v>646.3303571428571</v>
      </c>
      <c r="D20">
        <f>weight!G20</f>
        <v>297</v>
      </c>
      <c r="E20" s="1">
        <f t="shared" si="0"/>
        <v>414.32062358464214</v>
      </c>
      <c r="F20" s="15">
        <f t="shared" si="1"/>
        <v>-1310.5707672591584</v>
      </c>
      <c r="G20" s="15">
        <f t="shared" si="2"/>
        <v>128220.93593102021</v>
      </c>
      <c r="H20" s="1"/>
    </row>
    <row r="21" spans="1:8" ht="12.75">
      <c r="A21">
        <f>weight!B21</f>
        <v>15</v>
      </c>
      <c r="B21" s="22" t="s">
        <v>120</v>
      </c>
      <c r="C21">
        <f>weight!D21</f>
        <v>577.0223214285714</v>
      </c>
      <c r="D21">
        <f>weight!G21</f>
        <v>319</v>
      </c>
      <c r="E21" s="1">
        <f t="shared" si="0"/>
        <v>470.36142710979254</v>
      </c>
      <c r="F21" s="15">
        <f t="shared" si="1"/>
        <v>-1417.2316615779373</v>
      </c>
      <c r="G21" s="15">
        <f t="shared" si="2"/>
        <v>98215.10921381216</v>
      </c>
      <c r="H21" s="1"/>
    </row>
    <row r="22" spans="1:8" ht="12.75">
      <c r="A22">
        <f>weight!B22</f>
        <v>16</v>
      </c>
      <c r="B22" s="22" t="s">
        <v>121</v>
      </c>
      <c r="C22">
        <f>weight!D22</f>
        <v>511.81473214285717</v>
      </c>
      <c r="D22">
        <f>weight!G22</f>
        <v>341</v>
      </c>
      <c r="E22" s="1">
        <f t="shared" si="0"/>
        <v>549.298905101321</v>
      </c>
      <c r="F22" s="15">
        <f t="shared" si="1"/>
        <v>-1379.7474886194734</v>
      </c>
      <c r="G22" s="15">
        <f t="shared" si="2"/>
        <v>67448.33856164064</v>
      </c>
      <c r="H22" s="1"/>
    </row>
    <row r="23" spans="1:8" ht="12.75">
      <c r="A23">
        <f>weight!B23</f>
        <v>17</v>
      </c>
      <c r="B23" s="22" t="s">
        <v>122</v>
      </c>
      <c r="C23">
        <f>weight!D23</f>
        <v>432.959375</v>
      </c>
      <c r="D23">
        <f>weight!G23</f>
        <v>363</v>
      </c>
      <c r="E23" s="1">
        <f t="shared" si="0"/>
        <v>627.9616577694217</v>
      </c>
      <c r="F23" s="15">
        <f t="shared" si="1"/>
        <v>-1184.7452058500517</v>
      </c>
      <c r="G23" s="15">
        <f t="shared" si="2"/>
        <v>39238.91892247587</v>
      </c>
      <c r="H23" s="1"/>
    </row>
    <row r="24" spans="1:8" ht="12.75">
      <c r="A24">
        <f>weight!B24</f>
        <v>18</v>
      </c>
      <c r="B24" s="22" t="s">
        <v>123</v>
      </c>
      <c r="C24">
        <f>weight!D24</f>
        <v>340.5205357142857</v>
      </c>
      <c r="D24">
        <f>weight!G24</f>
        <v>385</v>
      </c>
      <c r="E24" s="1">
        <f t="shared" si="0"/>
        <v>678.0670825253661</v>
      </c>
      <c r="F24" s="15">
        <f t="shared" si="1"/>
        <v>-847.1986590389713</v>
      </c>
      <c r="G24" s="15">
        <f t="shared" si="2"/>
        <v>16887.536408696615</v>
      </c>
      <c r="H24" s="1"/>
    </row>
    <row r="25" spans="1:8" ht="12.75">
      <c r="A25">
        <f>weight!B25</f>
        <v>19</v>
      </c>
      <c r="B25" s="22" t="s">
        <v>124</v>
      </c>
      <c r="C25">
        <f>weight!D25</f>
        <v>237.23236607142857</v>
      </c>
      <c r="D25">
        <f>weight!G25</f>
        <v>407</v>
      </c>
      <c r="E25" s="1">
        <f t="shared" si="0"/>
        <v>699.8336842715999</v>
      </c>
      <c r="F25" s="15">
        <f t="shared" si="1"/>
        <v>-384.59734083880005</v>
      </c>
      <c r="G25" s="15">
        <f t="shared" si="2"/>
        <v>3337.7804100411286</v>
      </c>
      <c r="H25" s="1"/>
    </row>
    <row r="26" spans="1:8" ht="12.75">
      <c r="A26">
        <f>weight!B26</f>
        <v>20</v>
      </c>
      <c r="B26" s="22" t="s">
        <v>125</v>
      </c>
      <c r="C26">
        <f>weight!D26</f>
        <v>138.7796875</v>
      </c>
      <c r="D26">
        <f>weight!G26</f>
        <v>429</v>
      </c>
      <c r="E26" s="1">
        <f t="shared" si="0"/>
        <v>523.0039116141077</v>
      </c>
      <c r="F26" s="15">
        <f t="shared" si="1"/>
        <v>-0.37311672469240875</v>
      </c>
      <c r="G26" s="15">
        <f t="shared" si="2"/>
        <v>-896.8946231572882</v>
      </c>
      <c r="H26" s="1"/>
    </row>
    <row r="27" spans="5:8" ht="12.75">
      <c r="E27" s="1"/>
      <c r="F27" s="1"/>
      <c r="G27" s="15"/>
      <c r="H27" s="1"/>
    </row>
    <row r="28" spans="5:8" ht="12.75">
      <c r="E28" s="1"/>
      <c r="F28" s="1"/>
      <c r="G28" s="15"/>
      <c r="H28" s="1"/>
    </row>
    <row r="29" spans="3:5" ht="12.75">
      <c r="C29">
        <f>SUM(C7:C28)</f>
        <v>9330.041071428572</v>
      </c>
      <c r="E29" s="1">
        <f>SUM(E7:E28)</f>
        <v>9329.667954703878</v>
      </c>
    </row>
    <row r="30" ht="12.75">
      <c r="E30" s="1"/>
    </row>
    <row r="31" ht="12.75">
      <c r="E31" t="s">
        <v>160</v>
      </c>
    </row>
    <row r="32" ht="12.75">
      <c r="E32" t="s">
        <v>162</v>
      </c>
    </row>
    <row r="33" ht="12.75">
      <c r="E33" t="s">
        <v>92</v>
      </c>
    </row>
    <row r="35" ht="12.75">
      <c r="A35" t="s">
        <v>157</v>
      </c>
    </row>
    <row r="36" ht="12.75">
      <c r="A36" t="s">
        <v>158</v>
      </c>
    </row>
    <row r="38" spans="1:13" ht="51" customHeight="1">
      <c r="A38" s="39" t="s">
        <v>159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ht="12.75">
      <c r="A39" s="1"/>
    </row>
    <row r="40" ht="12.75">
      <c r="A40" s="29" t="s">
        <v>137</v>
      </c>
    </row>
    <row r="41" ht="12.75">
      <c r="A41" s="23" t="s">
        <v>138</v>
      </c>
    </row>
    <row r="42" ht="12.75">
      <c r="A42" s="23" t="s">
        <v>139</v>
      </c>
    </row>
    <row r="43" ht="12.75">
      <c r="A43" s="23" t="s">
        <v>140</v>
      </c>
    </row>
    <row r="44" ht="12.75">
      <c r="A44" s="23"/>
    </row>
    <row r="45" ht="12.75">
      <c r="A45" s="23"/>
    </row>
    <row r="46" spans="1:11" ht="12.75">
      <c r="A46" t="s">
        <v>156</v>
      </c>
      <c r="K46">
        <f>D8</f>
        <v>33</v>
      </c>
    </row>
    <row r="47" spans="1:11" ht="12.75">
      <c r="A47" t="s">
        <v>141</v>
      </c>
      <c r="K47">
        <f>MATCH(D8,x_sta_sag)</f>
        <v>2</v>
      </c>
    </row>
    <row r="48" spans="1:11" ht="12.75">
      <c r="A48" t="s">
        <v>142</v>
      </c>
      <c r="E48" t="s">
        <v>143</v>
      </c>
      <c r="H48" t="s">
        <v>154</v>
      </c>
      <c r="K48">
        <f>INDEX(x_sta_sag,K47)</f>
        <v>21.965023686486944</v>
      </c>
    </row>
    <row r="49" spans="1:11" ht="12.75">
      <c r="A49" t="s">
        <v>144</v>
      </c>
      <c r="E49" t="s">
        <v>145</v>
      </c>
      <c r="H49" t="s">
        <v>155</v>
      </c>
      <c r="K49">
        <f>INDEX(x_sta_sag,K47+1)</f>
        <v>43.98484132093221</v>
      </c>
    </row>
    <row r="50" spans="1:12" ht="12.75">
      <c r="A50" t="s">
        <v>148</v>
      </c>
      <c r="G50" t="s">
        <v>149</v>
      </c>
      <c r="K50">
        <f>INDEX(interpolated_area_sagging,K47)</f>
        <v>0.6517468928962552</v>
      </c>
      <c r="L50" t="str">
        <f>"= SAi in units or inches"</f>
        <v>= SAi in units or inches</v>
      </c>
    </row>
    <row r="52" spans="1:12" ht="12.75">
      <c r="A52" t="s">
        <v>146</v>
      </c>
      <c r="G52" t="s">
        <v>147</v>
      </c>
      <c r="K52">
        <f>INDEX(interpolated_area_sagging,K47+1)</f>
        <v>1.053291923425393</v>
      </c>
      <c r="L52" t="str">
        <f>"= SAi+1 in units or inches"</f>
        <v>= SAi+1 in units or inches</v>
      </c>
    </row>
    <row r="53" spans="1:11" ht="12.75">
      <c r="A53" s="23" t="s">
        <v>150</v>
      </c>
      <c r="K53" s="23">
        <f>sa_scale_factor*section_spacing/35</f>
        <v>377.14285714285717</v>
      </c>
    </row>
    <row r="55" ht="12.75">
      <c r="A55" t="s">
        <v>151</v>
      </c>
    </row>
    <row r="56" spans="1:11" ht="12.75">
      <c r="A56" t="s">
        <v>153</v>
      </c>
      <c r="K56">
        <f>(K46-K48)/(K49-K48)*(K52-K50)+K50</f>
        <v>0.8529765295017149</v>
      </c>
    </row>
    <row r="57" spans="1:11" ht="12.75">
      <c r="A57" t="s">
        <v>152</v>
      </c>
      <c r="K57">
        <f>K56*K53</f>
        <v>321.69400541207534</v>
      </c>
    </row>
  </sheetData>
  <mergeCells count="1">
    <mergeCell ref="A38:M38"/>
  </mergeCells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OE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DBurke</dc:creator>
  <cp:keywords/>
  <dc:description/>
  <cp:lastModifiedBy>dave burke</cp:lastModifiedBy>
  <cp:lastPrinted>2001-01-30T22:07:57Z</cp:lastPrinted>
  <dcterms:created xsi:type="dcterms:W3CDTF">2000-11-07T15:02:06Z</dcterms:created>
  <dcterms:modified xsi:type="dcterms:W3CDTF">2003-02-06T21:20:26Z</dcterms:modified>
  <cp:category/>
  <cp:version/>
  <cp:contentType/>
  <cp:contentStatus/>
</cp:coreProperties>
</file>