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<sst xmlns="http://schemas.openxmlformats.org/spreadsheetml/2006/main" count="122" uniqueCount="111">
  <si>
    <t>M1</t>
  </si>
  <si>
    <t>M2</t>
  </si>
  <si>
    <t>T1</t>
  </si>
  <si>
    <t>T2</t>
  </si>
  <si>
    <t>W1</t>
  </si>
  <si>
    <t>W2</t>
  </si>
  <si>
    <t>TH1</t>
  </si>
  <si>
    <t>TH2</t>
  </si>
  <si>
    <t>F1</t>
  </si>
  <si>
    <t>F2</t>
  </si>
  <si>
    <t>A</t>
  </si>
  <si>
    <t>B</t>
  </si>
  <si>
    <t>S&amp;C 6.3.3</t>
  </si>
  <si>
    <t>A-B</t>
  </si>
  <si>
    <t>A-B(d)</t>
  </si>
  <si>
    <t>s_d =</t>
  </si>
  <si>
    <t>s_d(bar)=</t>
  </si>
  <si>
    <t>Therefore, t-value is .88/.33193 = 2.6512.  At 9 degrees of freedom,</t>
  </si>
  <si>
    <t>the difference is significant.</t>
  </si>
  <si>
    <t>t should be larger than 2.262 to be significant at 95 % level.  Thus,</t>
  </si>
  <si>
    <t xml:space="preserve">(ii) 96% confidence interval can be obtained by calculating ave(A-B) +/- 2.262*.3319.  </t>
  </si>
  <si>
    <t xml:space="preserve">confidence interval = </t>
  </si>
  <si>
    <t xml:space="preserve">and </t>
  </si>
  <si>
    <t xml:space="preserve">(iii) Considering differences of traffic level of a day, pairing seems pretty effective. </t>
  </si>
  <si>
    <t xml:space="preserve"> Avg(A-B) =</t>
  </si>
  <si>
    <t>(I)</t>
  </si>
  <si>
    <t>(iv) Since "the Friday" is an outlier, which could influence variance and distorts the true diffrences.</t>
  </si>
  <si>
    <t>I would reject the pair to be included.</t>
  </si>
  <si>
    <t>S &amp; C 6.9.1</t>
  </si>
  <si>
    <t>f</t>
  </si>
  <si>
    <t>c</t>
  </si>
  <si>
    <t>f-c</t>
  </si>
  <si>
    <t>sum of (d - avg(A-B))^2</t>
  </si>
  <si>
    <t>f + c</t>
  </si>
  <si>
    <t>sum of (f - avg(f))^2</t>
  </si>
  <si>
    <t>sum of (c - avg(c))^2</t>
  </si>
  <si>
    <t>s(f)^2 + s(c)^2</t>
  </si>
  <si>
    <t>s^2</t>
  </si>
  <si>
    <t>sum/avg</t>
  </si>
  <si>
    <t>pooled s^2 =</t>
  </si>
  <si>
    <t xml:space="preserve"> d.f.=</t>
  </si>
  <si>
    <t>s(f_bar - c_bar)=</t>
  </si>
  <si>
    <t>t-score=</t>
  </si>
  <si>
    <t>Therefore, the difference is not significant.</t>
  </si>
  <si>
    <t>S &amp; C 6.9.3</t>
  </si>
  <si>
    <t>total</t>
  </si>
  <si>
    <t>pooled s^2</t>
  </si>
  <si>
    <t xml:space="preserve">t-score = </t>
  </si>
  <si>
    <t>s(d) =</t>
  </si>
  <si>
    <t>d.f.=</t>
  </si>
  <si>
    <t>days*patients for A</t>
  </si>
  <si>
    <t>days*patients for B</t>
  </si>
  <si>
    <t>s^2 for A</t>
  </si>
  <si>
    <t>s^2 for B</t>
  </si>
  <si>
    <t>S&amp;C 6.12.1</t>
  </si>
  <si>
    <t>7hour sleep</t>
  </si>
  <si>
    <t>6hour sleep</t>
  </si>
  <si>
    <t>n</t>
  </si>
  <si>
    <t>average</t>
  </si>
  <si>
    <t>sum (x-avg)^2</t>
  </si>
  <si>
    <t>F=</t>
  </si>
  <si>
    <t>4.954/1.37= 3.6266</t>
  </si>
  <si>
    <t>If you look at the end of a book, you can find the F-value which makes your score significant.</t>
  </si>
  <si>
    <t>Since it did not clarify whether we should use one-tailed or two-tailed test, we assume to use two-tailed test.</t>
  </si>
  <si>
    <t>Then, finding F(.025) with d.f. of 14 for numerator and d.f. of 10 for denominator yields about 3.5.</t>
  </si>
  <si>
    <t>Our F-value is higher than the critical value of 3.5, we can reject the null hypothesis that those two variances are not very different.  They are.</t>
  </si>
  <si>
    <t>S&amp;C 6.12.2</t>
  </si>
  <si>
    <t>S&amp;C 6.12.3</t>
  </si>
  <si>
    <t>S&amp;C 6.13.1</t>
  </si>
  <si>
    <t>a</t>
  </si>
  <si>
    <t>b</t>
  </si>
  <si>
    <t>unpaired</t>
  </si>
  <si>
    <t>paired</t>
  </si>
  <si>
    <t>avg/sum</t>
  </si>
  <si>
    <t>sum(a-avg)^2</t>
  </si>
  <si>
    <t>sum(b-avg)^2</t>
  </si>
  <si>
    <t>a-b</t>
  </si>
  <si>
    <t>unpaired with Fisher rule</t>
  </si>
  <si>
    <t>paired with Fisher rule</t>
  </si>
  <si>
    <t>S&amp;C 6.13.2</t>
  </si>
  <si>
    <t>sum(A-avg)^2</t>
  </si>
  <si>
    <t>sum(B-avg)^2</t>
  </si>
  <si>
    <t>sum((A-B)-avg)^2</t>
  </si>
  <si>
    <t>sigma(d)^2</t>
  </si>
  <si>
    <t>S&amp;C 6.13.3</t>
  </si>
  <si>
    <t>t'=</t>
  </si>
  <si>
    <t>(34.45-33.57)/sqrt((4.95/15) + (1.366/11))=</t>
  </si>
  <si>
    <t>(s1^2/n1 + s2^2/n2)^2/[(s1^2/n1)^2/(n1-1) + (s2^2/n2)^2/(n2-1)]</t>
  </si>
  <si>
    <t>t'(.05) with 22 degrees of freedom is about 2.1.  Therefore, we fail to reject the null hypothesis.</t>
  </si>
  <si>
    <t>(ii) if sigma1 is equal to sigma2</t>
  </si>
  <si>
    <t>(I) if sigma1 is not equal to sigma2, use t' equation.</t>
  </si>
  <si>
    <t>t=</t>
  </si>
  <si>
    <t>s.d.=</t>
  </si>
  <si>
    <t>t(.05) with 24 degrees of freedom is 2.064.  Again, we fail to reject the null.</t>
  </si>
  <si>
    <t>First, the difference of two averages is .88.  When the sigmas are the same for two cases,</t>
  </si>
  <si>
    <t>confidence interval is .88+/-2.064(.738)</t>
  </si>
  <si>
    <t>and</t>
  </si>
  <si>
    <t>When the sigmas are different,</t>
  </si>
  <si>
    <t>confidence interval is .88+/-2.08(.674)</t>
  </si>
  <si>
    <t>Therefore, unpaired variance is more than 8 times larger than paired variance.</t>
  </si>
  <si>
    <t xml:space="preserve"> </t>
  </si>
  <si>
    <t xml:space="preserve">When n=5, Fisher's rule's multiplicative part is 7/5 for paired case and 11/9 for unpaired case.  </t>
  </si>
  <si>
    <t>The ratio of 7/5 and 11/9 is 1.4:1.22.  Therefore, 1.4/1.22 is</t>
  </si>
  <si>
    <t>When n=10, multiplicative part is 12/10 for paired and 21/19 for unpaired case.</t>
  </si>
  <si>
    <t xml:space="preserve">The ratio of 12/10 and 21/19 is 1.2:1.105.  Therefore, 1.2/1.105 is </t>
  </si>
  <si>
    <t>The variance of paired case is about 15% higher.</t>
  </si>
  <si>
    <t>The difference between A and B is about 1 day.</t>
  </si>
  <si>
    <t>However, t-score is1.88 and not large enough to say there is a significant difference between A and B.</t>
  </si>
  <si>
    <t>The variance of paired case is about 9% higher.</t>
  </si>
  <si>
    <t>sqrt(3.46(26/15*11))=</t>
  </si>
  <si>
    <t>(34.45-33.57)/.738=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</si>
</sst>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7" xfId="0" applyFont="1" applyBorder="1" applyAlignment="1">
      <alignment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tabSelected="1" workbookViewId="0" topLeftCell="A38">
      <selection activeCell="F55" sqref="F55"/>
    </sheetView>
  </sheetViews>
  <sheetFormatPr defaultColWidth="9.140625" defaultRowHeight="12.75"/>
  <cols>
    <col min="1" max="1" width="21.00390625" style="3" customWidth="1"/>
    <col min="2" max="2" width="7.7109375" style="3" customWidth="1"/>
    <col min="3" max="3" width="7.140625" style="3" customWidth="1"/>
    <col min="4" max="4" width="7.8515625" style="3" customWidth="1"/>
    <col min="5" max="5" width="7.28125" style="3" customWidth="1"/>
    <col min="6" max="6" width="6.7109375" style="3" customWidth="1"/>
    <col min="7" max="7" width="7.00390625" style="3" customWidth="1"/>
    <col min="8" max="8" width="7.57421875" style="3" customWidth="1"/>
    <col min="9" max="9" width="7.28125" style="3" customWidth="1"/>
    <col min="10" max="10" width="7.421875" style="3" customWidth="1"/>
    <col min="11" max="12" width="7.00390625" style="3" customWidth="1"/>
    <col min="13" max="13" width="6.8515625" style="3" customWidth="1"/>
    <col min="14" max="14" width="7.00390625" style="3" customWidth="1"/>
    <col min="15" max="15" width="8.421875" style="3" customWidth="1"/>
    <col min="16" max="16" width="7.00390625" style="3" customWidth="1"/>
    <col min="17" max="16384" width="9.140625" style="3" customWidth="1"/>
  </cols>
  <sheetData>
    <row r="1" s="2" customFormat="1" ht="12">
      <c r="A1" s="1" t="s">
        <v>12</v>
      </c>
    </row>
    <row r="2" ht="12">
      <c r="A2" s="1"/>
    </row>
    <row r="3" spans="1:11" ht="12.75" thickBot="1">
      <c r="A3" s="4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6" t="s">
        <v>9</v>
      </c>
    </row>
    <row r="4" spans="1:11" ht="12.75" thickTop="1">
      <c r="A4" s="7" t="s">
        <v>10</v>
      </c>
      <c r="B4" s="8">
        <v>28.7</v>
      </c>
      <c r="C4" s="8">
        <v>26.2</v>
      </c>
      <c r="D4" s="8">
        <v>24.8</v>
      </c>
      <c r="E4" s="8">
        <v>25.3</v>
      </c>
      <c r="F4" s="8">
        <v>25.1</v>
      </c>
      <c r="G4" s="8">
        <v>23.9</v>
      </c>
      <c r="H4" s="8">
        <v>26.1</v>
      </c>
      <c r="I4" s="8">
        <v>25.8</v>
      </c>
      <c r="J4" s="8">
        <v>30.3</v>
      </c>
      <c r="K4" s="9">
        <v>31.4</v>
      </c>
    </row>
    <row r="5" spans="1:11" ht="12">
      <c r="A5" s="7" t="s">
        <v>11</v>
      </c>
      <c r="B5" s="8">
        <v>25.4</v>
      </c>
      <c r="C5" s="8">
        <v>25.8</v>
      </c>
      <c r="D5" s="8">
        <v>24.9</v>
      </c>
      <c r="E5" s="8">
        <v>25</v>
      </c>
      <c r="F5" s="8">
        <v>23.9</v>
      </c>
      <c r="G5" s="8">
        <v>23.3</v>
      </c>
      <c r="H5" s="8">
        <v>26.6</v>
      </c>
      <c r="I5" s="8">
        <v>24.8</v>
      </c>
      <c r="J5" s="8">
        <v>28.8</v>
      </c>
      <c r="K5" s="9">
        <v>30.3</v>
      </c>
    </row>
    <row r="6" spans="1:11" ht="12">
      <c r="A6" s="7" t="s">
        <v>14</v>
      </c>
      <c r="B6" s="8">
        <f>B4-B5</f>
        <v>3.3000000000000007</v>
      </c>
      <c r="C6" s="8">
        <f aca="true" t="shared" si="0" ref="C6:K6">C4-C5</f>
        <v>0.3999999999999986</v>
      </c>
      <c r="D6" s="8">
        <f t="shared" si="0"/>
        <v>-0.09999999999999787</v>
      </c>
      <c r="E6" s="8">
        <f t="shared" si="0"/>
        <v>0.3000000000000007</v>
      </c>
      <c r="F6" s="8">
        <f t="shared" si="0"/>
        <v>1.2000000000000028</v>
      </c>
      <c r="G6" s="8">
        <f t="shared" si="0"/>
        <v>0.5999999999999979</v>
      </c>
      <c r="H6" s="8">
        <f t="shared" si="0"/>
        <v>-0.5</v>
      </c>
      <c r="I6" s="8">
        <f t="shared" si="0"/>
        <v>1</v>
      </c>
      <c r="J6" s="8">
        <f t="shared" si="0"/>
        <v>1.5</v>
      </c>
      <c r="K6" s="9">
        <f t="shared" si="0"/>
        <v>1.0999999999999979</v>
      </c>
    </row>
    <row r="7" spans="1:12" ht="12">
      <c r="A7" s="10" t="s">
        <v>32</v>
      </c>
      <c r="B7" s="11">
        <f>(B6-0.88)^2</f>
        <v>5.856400000000004</v>
      </c>
      <c r="C7" s="11">
        <f aca="true" t="shared" si="1" ref="C7:K7">(C6-0.88)^2</f>
        <v>0.23040000000000138</v>
      </c>
      <c r="D7" s="11">
        <f t="shared" si="1"/>
        <v>0.9603999999999958</v>
      </c>
      <c r="E7" s="11">
        <f t="shared" si="1"/>
        <v>0.3363999999999992</v>
      </c>
      <c r="F7" s="11">
        <f t="shared" si="1"/>
        <v>0.10240000000000182</v>
      </c>
      <c r="G7" s="11">
        <f t="shared" si="1"/>
        <v>0.07840000000000119</v>
      </c>
      <c r="H7" s="11">
        <f t="shared" si="1"/>
        <v>1.9043999999999996</v>
      </c>
      <c r="I7" s="11">
        <f t="shared" si="1"/>
        <v>0.0144</v>
      </c>
      <c r="J7" s="11">
        <f t="shared" si="1"/>
        <v>0.3844</v>
      </c>
      <c r="K7" s="12">
        <f t="shared" si="1"/>
        <v>0.04839999999999906</v>
      </c>
      <c r="L7" s="2">
        <f>SUM(B7:K7)</f>
        <v>9.916000000000002</v>
      </c>
    </row>
    <row r="8" ht="12">
      <c r="A8" s="1"/>
    </row>
    <row r="9" ht="12">
      <c r="A9" s="13" t="s">
        <v>25</v>
      </c>
    </row>
    <row r="10" spans="1:13" ht="12">
      <c r="A10" s="14" t="s">
        <v>24</v>
      </c>
      <c r="B10" s="2">
        <f>AVERAGE(B6:K6)</f>
        <v>0.8800000000000001</v>
      </c>
      <c r="E10" s="15" t="s">
        <v>17</v>
      </c>
      <c r="F10" s="16"/>
      <c r="G10" s="16"/>
      <c r="H10" s="16"/>
      <c r="I10" s="16"/>
      <c r="J10" s="16"/>
      <c r="K10" s="16"/>
      <c r="L10" s="16"/>
      <c r="M10" s="17"/>
    </row>
    <row r="11" spans="1:13" ht="12">
      <c r="A11" s="14" t="s">
        <v>15</v>
      </c>
      <c r="B11" s="2">
        <f>SQRT(L7/9)</f>
        <v>1.0496560283148846</v>
      </c>
      <c r="E11" s="18" t="s">
        <v>19</v>
      </c>
      <c r="F11" s="8"/>
      <c r="G11" s="8"/>
      <c r="H11" s="8"/>
      <c r="I11" s="8"/>
      <c r="J11" s="8"/>
      <c r="K11" s="8"/>
      <c r="L11" s="8"/>
      <c r="M11" s="9"/>
    </row>
    <row r="12" spans="1:13" ht="12">
      <c r="A12" s="14" t="s">
        <v>16</v>
      </c>
      <c r="B12" s="2">
        <f>B11/SQRT(10)</f>
        <v>0.3319303809201227</v>
      </c>
      <c r="E12" s="19" t="s">
        <v>18</v>
      </c>
      <c r="F12" s="11"/>
      <c r="G12" s="11"/>
      <c r="H12" s="11"/>
      <c r="I12" s="11"/>
      <c r="J12" s="11"/>
      <c r="K12" s="11"/>
      <c r="L12" s="11"/>
      <c r="M12" s="12"/>
    </row>
    <row r="13" ht="12">
      <c r="A13" s="14"/>
    </row>
    <row r="14" ht="12">
      <c r="A14" s="14"/>
    </row>
    <row r="15" spans="1:7" ht="12">
      <c r="A15" s="58" t="s">
        <v>20</v>
      </c>
      <c r="B15" s="58"/>
      <c r="C15" s="58"/>
      <c r="D15" s="58"/>
      <c r="E15" s="58"/>
      <c r="F15" s="58"/>
      <c r="G15" s="58"/>
    </row>
    <row r="16" spans="1:4" ht="12">
      <c r="A16" s="20" t="s">
        <v>21</v>
      </c>
      <c r="B16" s="3">
        <f>B10+2.262*B12</f>
        <v>1.6308265216413176</v>
      </c>
      <c r="C16" s="14" t="s">
        <v>22</v>
      </c>
      <c r="D16" s="3">
        <f>B10-2.262*0.3319</f>
        <v>0.1292422000000002</v>
      </c>
    </row>
    <row r="18" spans="1:6" ht="12">
      <c r="A18" s="58" t="s">
        <v>23</v>
      </c>
      <c r="B18" s="58"/>
      <c r="C18" s="58"/>
      <c r="D18" s="58"/>
      <c r="E18" s="58"/>
      <c r="F18" s="58"/>
    </row>
    <row r="20" ht="12">
      <c r="A20" s="3" t="s">
        <v>26</v>
      </c>
    </row>
    <row r="21" ht="12">
      <c r="A21" s="3" t="s">
        <v>27</v>
      </c>
    </row>
    <row r="23" ht="12">
      <c r="A23" s="1" t="s">
        <v>28</v>
      </c>
    </row>
    <row r="24" spans="1:16" ht="12.75" thickBot="1">
      <c r="A24" s="4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6" t="s">
        <v>38</v>
      </c>
      <c r="P24" s="1"/>
    </row>
    <row r="25" spans="1:15" ht="12.75" thickTop="1">
      <c r="A25" s="7" t="s">
        <v>29</v>
      </c>
      <c r="B25" s="8">
        <v>20</v>
      </c>
      <c r="C25" s="8">
        <v>31</v>
      </c>
      <c r="D25" s="8">
        <v>18</v>
      </c>
      <c r="E25" s="8">
        <v>23</v>
      </c>
      <c r="F25" s="8">
        <v>23</v>
      </c>
      <c r="G25" s="8">
        <v>28</v>
      </c>
      <c r="H25" s="8">
        <v>23</v>
      </c>
      <c r="I25" s="8">
        <v>26</v>
      </c>
      <c r="J25" s="8">
        <v>27</v>
      </c>
      <c r="K25" s="8">
        <v>26</v>
      </c>
      <c r="L25" s="8">
        <v>12</v>
      </c>
      <c r="M25" s="8">
        <v>17</v>
      </c>
      <c r="N25" s="8">
        <v>25</v>
      </c>
      <c r="O25" s="22">
        <f>AVERAGE(B25:N25)</f>
        <v>23</v>
      </c>
    </row>
    <row r="26" spans="1:15" ht="12">
      <c r="A26" s="7" t="s">
        <v>30</v>
      </c>
      <c r="B26" s="8">
        <v>19</v>
      </c>
      <c r="C26" s="8">
        <v>30</v>
      </c>
      <c r="D26" s="8">
        <v>32</v>
      </c>
      <c r="E26" s="8">
        <v>28</v>
      </c>
      <c r="F26" s="8">
        <v>15</v>
      </c>
      <c r="G26" s="8">
        <v>26</v>
      </c>
      <c r="H26" s="8">
        <v>35</v>
      </c>
      <c r="I26" s="8">
        <v>18</v>
      </c>
      <c r="J26" s="8">
        <v>25</v>
      </c>
      <c r="K26" s="8">
        <v>27</v>
      </c>
      <c r="L26" s="8">
        <v>35</v>
      </c>
      <c r="M26" s="8">
        <v>34</v>
      </c>
      <c r="N26" s="8"/>
      <c r="O26" s="22">
        <f>AVERAGE(B26:N26)</f>
        <v>27</v>
      </c>
    </row>
    <row r="27" spans="1:16" ht="12">
      <c r="A27" s="7" t="s">
        <v>33</v>
      </c>
      <c r="B27" s="8">
        <f>SUM(B25:B26)</f>
        <v>39</v>
      </c>
      <c r="C27" s="8">
        <f aca="true" t="shared" si="2" ref="C27:M27">SUM(C25:C26)</f>
        <v>61</v>
      </c>
      <c r="D27" s="8">
        <f t="shared" si="2"/>
        <v>50</v>
      </c>
      <c r="E27" s="8">
        <f t="shared" si="2"/>
        <v>51</v>
      </c>
      <c r="F27" s="8">
        <f t="shared" si="2"/>
        <v>38</v>
      </c>
      <c r="G27" s="8">
        <f t="shared" si="2"/>
        <v>54</v>
      </c>
      <c r="H27" s="8">
        <f t="shared" si="2"/>
        <v>58</v>
      </c>
      <c r="I27" s="8">
        <f t="shared" si="2"/>
        <v>44</v>
      </c>
      <c r="J27" s="8">
        <f t="shared" si="2"/>
        <v>52</v>
      </c>
      <c r="K27" s="8">
        <f t="shared" si="2"/>
        <v>53</v>
      </c>
      <c r="L27" s="8">
        <f t="shared" si="2"/>
        <v>47</v>
      </c>
      <c r="M27" s="8">
        <f t="shared" si="2"/>
        <v>51</v>
      </c>
      <c r="N27" s="8">
        <f>SUM(N25:N26)</f>
        <v>25</v>
      </c>
      <c r="O27" s="22">
        <f>SUM(B27:N27)</f>
        <v>623</v>
      </c>
      <c r="P27" s="2"/>
    </row>
    <row r="28" spans="1:16" ht="12">
      <c r="A28" s="7" t="s">
        <v>34</v>
      </c>
      <c r="B28" s="8">
        <f>(B25-23)^2</f>
        <v>9</v>
      </c>
      <c r="C28" s="8">
        <f aca="true" t="shared" si="3" ref="C28:N28">(C25-23)^2</f>
        <v>64</v>
      </c>
      <c r="D28" s="8">
        <f t="shared" si="3"/>
        <v>25</v>
      </c>
      <c r="E28" s="8">
        <f t="shared" si="3"/>
        <v>0</v>
      </c>
      <c r="F28" s="8">
        <f t="shared" si="3"/>
        <v>0</v>
      </c>
      <c r="G28" s="8">
        <f t="shared" si="3"/>
        <v>25</v>
      </c>
      <c r="H28" s="8">
        <f t="shared" si="3"/>
        <v>0</v>
      </c>
      <c r="I28" s="8">
        <f t="shared" si="3"/>
        <v>9</v>
      </c>
      <c r="J28" s="8">
        <f t="shared" si="3"/>
        <v>16</v>
      </c>
      <c r="K28" s="8">
        <f t="shared" si="3"/>
        <v>9</v>
      </c>
      <c r="L28" s="8">
        <f t="shared" si="3"/>
        <v>121</v>
      </c>
      <c r="M28" s="8">
        <f t="shared" si="3"/>
        <v>36</v>
      </c>
      <c r="N28" s="8">
        <f t="shared" si="3"/>
        <v>4</v>
      </c>
      <c r="O28" s="22">
        <f>SUM(B28:N28)</f>
        <v>318</v>
      </c>
      <c r="P28" s="2"/>
    </row>
    <row r="29" spans="1:16" ht="12">
      <c r="A29" s="7" t="s">
        <v>35</v>
      </c>
      <c r="B29" s="8">
        <f>(B26-27)^2</f>
        <v>64</v>
      </c>
      <c r="C29" s="8">
        <f aca="true" t="shared" si="4" ref="C29:M29">(C26-27)^2</f>
        <v>9</v>
      </c>
      <c r="D29" s="8">
        <f t="shared" si="4"/>
        <v>25</v>
      </c>
      <c r="E29" s="8">
        <f t="shared" si="4"/>
        <v>1</v>
      </c>
      <c r="F29" s="8">
        <f t="shared" si="4"/>
        <v>144</v>
      </c>
      <c r="G29" s="8">
        <f t="shared" si="4"/>
        <v>1</v>
      </c>
      <c r="H29" s="8">
        <f t="shared" si="4"/>
        <v>64</v>
      </c>
      <c r="I29" s="8">
        <f t="shared" si="4"/>
        <v>81</v>
      </c>
      <c r="J29" s="8">
        <f t="shared" si="4"/>
        <v>4</v>
      </c>
      <c r="K29" s="8">
        <f t="shared" si="4"/>
        <v>0</v>
      </c>
      <c r="L29" s="8">
        <f t="shared" si="4"/>
        <v>64</v>
      </c>
      <c r="M29" s="8">
        <f t="shared" si="4"/>
        <v>49</v>
      </c>
      <c r="N29" s="8"/>
      <c r="O29" s="22">
        <f>SUM(B29:N29)</f>
        <v>506</v>
      </c>
      <c r="P29" s="2"/>
    </row>
    <row r="30" spans="1:16" ht="12">
      <c r="A30" s="10" t="s">
        <v>36</v>
      </c>
      <c r="B30" s="11">
        <f>SUM(B28:B29)</f>
        <v>73</v>
      </c>
      <c r="C30" s="11">
        <f aca="true" t="shared" si="5" ref="C30:M30">SUM(C28:C29)</f>
        <v>73</v>
      </c>
      <c r="D30" s="11">
        <f t="shared" si="5"/>
        <v>50</v>
      </c>
      <c r="E30" s="11">
        <f t="shared" si="5"/>
        <v>1</v>
      </c>
      <c r="F30" s="11">
        <f t="shared" si="5"/>
        <v>144</v>
      </c>
      <c r="G30" s="11">
        <f t="shared" si="5"/>
        <v>26</v>
      </c>
      <c r="H30" s="11">
        <f t="shared" si="5"/>
        <v>64</v>
      </c>
      <c r="I30" s="11">
        <f t="shared" si="5"/>
        <v>90</v>
      </c>
      <c r="J30" s="11">
        <f t="shared" si="5"/>
        <v>20</v>
      </c>
      <c r="K30" s="11">
        <f t="shared" si="5"/>
        <v>9</v>
      </c>
      <c r="L30" s="11">
        <f t="shared" si="5"/>
        <v>185</v>
      </c>
      <c r="M30" s="11">
        <f t="shared" si="5"/>
        <v>85</v>
      </c>
      <c r="N30" s="11">
        <f>SUM(N28:N29)</f>
        <v>4</v>
      </c>
      <c r="O30" s="23">
        <f>SUM(O28:O29)</f>
        <v>824</v>
      </c>
      <c r="P30" s="2"/>
    </row>
    <row r="31" ht="12">
      <c r="A31" s="14"/>
    </row>
    <row r="32" spans="1:16" ht="12">
      <c r="A32" s="1" t="s">
        <v>31</v>
      </c>
      <c r="B32" s="3">
        <f>B25-B26</f>
        <v>1</v>
      </c>
      <c r="C32" s="3">
        <f aca="true" t="shared" si="6" ref="C32:M32">C25-C26</f>
        <v>1</v>
      </c>
      <c r="D32" s="3">
        <f t="shared" si="6"/>
        <v>-14</v>
      </c>
      <c r="E32" s="3">
        <f t="shared" si="6"/>
        <v>-5</v>
      </c>
      <c r="F32" s="3">
        <f t="shared" si="6"/>
        <v>8</v>
      </c>
      <c r="G32" s="3">
        <f t="shared" si="6"/>
        <v>2</v>
      </c>
      <c r="H32" s="3">
        <f t="shared" si="6"/>
        <v>-12</v>
      </c>
      <c r="I32" s="3">
        <f t="shared" si="6"/>
        <v>8</v>
      </c>
      <c r="J32" s="3">
        <f t="shared" si="6"/>
        <v>2</v>
      </c>
      <c r="K32" s="3">
        <f t="shared" si="6"/>
        <v>-1</v>
      </c>
      <c r="L32" s="3">
        <f t="shared" si="6"/>
        <v>-23</v>
      </c>
      <c r="M32" s="3">
        <f t="shared" si="6"/>
        <v>-17</v>
      </c>
      <c r="P32" s="2"/>
    </row>
    <row r="33" spans="1:16" ht="12">
      <c r="A33" s="14"/>
      <c r="O33" s="2"/>
      <c r="P33" s="2"/>
    </row>
    <row r="34" spans="1:6" ht="12">
      <c r="A34" s="24" t="s">
        <v>39</v>
      </c>
      <c r="B34" s="16">
        <v>35.286</v>
      </c>
      <c r="C34" s="25" t="s">
        <v>40</v>
      </c>
      <c r="D34" s="17">
        <v>23</v>
      </c>
      <c r="F34" s="3" t="s">
        <v>43</v>
      </c>
    </row>
    <row r="35" spans="1:4" ht="12">
      <c r="A35" s="26" t="s">
        <v>41</v>
      </c>
      <c r="B35" s="8">
        <v>2.3961</v>
      </c>
      <c r="C35" s="8"/>
      <c r="D35" s="9"/>
    </row>
    <row r="36" spans="1:4" ht="12">
      <c r="A36" s="27" t="s">
        <v>42</v>
      </c>
      <c r="B36" s="11">
        <v>1.6694</v>
      </c>
      <c r="C36" s="11"/>
      <c r="D36" s="12"/>
    </row>
    <row r="38" ht="12">
      <c r="A38" s="1" t="s">
        <v>44</v>
      </c>
    </row>
    <row r="40" spans="1:12" ht="12.75" thickBot="1">
      <c r="A40" s="28"/>
      <c r="B40" s="5">
        <v>1</v>
      </c>
      <c r="C40" s="5">
        <v>2</v>
      </c>
      <c r="D40" s="5">
        <v>3</v>
      </c>
      <c r="E40" s="5">
        <v>4</v>
      </c>
      <c r="F40" s="5">
        <v>5</v>
      </c>
      <c r="G40" s="5">
        <v>6</v>
      </c>
      <c r="H40" s="5">
        <v>7</v>
      </c>
      <c r="I40" s="5">
        <v>8</v>
      </c>
      <c r="J40" s="5">
        <v>9</v>
      </c>
      <c r="K40" s="5">
        <v>10</v>
      </c>
      <c r="L40" s="6" t="s">
        <v>45</v>
      </c>
    </row>
    <row r="41" spans="1:13" ht="12.75" thickTop="1">
      <c r="A41" s="26" t="s">
        <v>10</v>
      </c>
      <c r="B41" s="8">
        <v>17</v>
      </c>
      <c r="C41" s="8">
        <v>8</v>
      </c>
      <c r="D41" s="8">
        <v>5</v>
      </c>
      <c r="E41" s="8">
        <v>9</v>
      </c>
      <c r="F41" s="8">
        <v>7</v>
      </c>
      <c r="G41" s="8">
        <v>1</v>
      </c>
      <c r="H41" s="8">
        <v>2</v>
      </c>
      <c r="I41" s="8">
        <v>1</v>
      </c>
      <c r="J41" s="8">
        <v>2</v>
      </c>
      <c r="K41" s="8">
        <v>7</v>
      </c>
      <c r="L41" s="9">
        <v>59</v>
      </c>
      <c r="M41" s="3">
        <f>AVERAGE(B41:K41)</f>
        <v>5.9</v>
      </c>
    </row>
    <row r="42" spans="1:13" ht="12">
      <c r="A42" s="26" t="s">
        <v>11</v>
      </c>
      <c r="B42" s="8">
        <v>15</v>
      </c>
      <c r="C42" s="8">
        <v>8</v>
      </c>
      <c r="D42" s="8">
        <v>8</v>
      </c>
      <c r="E42" s="8">
        <v>5</v>
      </c>
      <c r="F42" s="8">
        <v>3</v>
      </c>
      <c r="G42" s="8">
        <v>1</v>
      </c>
      <c r="H42" s="8">
        <v>0</v>
      </c>
      <c r="I42" s="8">
        <v>0</v>
      </c>
      <c r="J42" s="8">
        <v>0</v>
      </c>
      <c r="K42" s="8">
        <v>3</v>
      </c>
      <c r="L42" s="9">
        <v>43</v>
      </c>
      <c r="M42" s="3">
        <f>AVERAGE(B42:K42)</f>
        <v>4.3</v>
      </c>
    </row>
    <row r="43" spans="1:13" ht="12">
      <c r="A43" s="26" t="s">
        <v>50</v>
      </c>
      <c r="B43" s="8">
        <f>B40*B41</f>
        <v>17</v>
      </c>
      <c r="C43" s="8">
        <f aca="true" t="shared" si="7" ref="C43:K43">C40*C41</f>
        <v>16</v>
      </c>
      <c r="D43" s="8">
        <f t="shared" si="7"/>
        <v>15</v>
      </c>
      <c r="E43" s="8">
        <f t="shared" si="7"/>
        <v>36</v>
      </c>
      <c r="F43" s="8">
        <f t="shared" si="7"/>
        <v>35</v>
      </c>
      <c r="G43" s="8">
        <f t="shared" si="7"/>
        <v>6</v>
      </c>
      <c r="H43" s="8">
        <f t="shared" si="7"/>
        <v>14</v>
      </c>
      <c r="I43" s="8">
        <f t="shared" si="7"/>
        <v>8</v>
      </c>
      <c r="J43" s="8">
        <f t="shared" si="7"/>
        <v>18</v>
      </c>
      <c r="K43" s="8">
        <f t="shared" si="7"/>
        <v>70</v>
      </c>
      <c r="L43" s="9">
        <f>SUM(B43:K43)</f>
        <v>235</v>
      </c>
      <c r="M43" s="2">
        <f>L43/L41</f>
        <v>3.983050847457627</v>
      </c>
    </row>
    <row r="44" spans="1:16" ht="12">
      <c r="A44" s="26" t="s">
        <v>51</v>
      </c>
      <c r="B44" s="8">
        <f>B40*B42</f>
        <v>15</v>
      </c>
      <c r="C44" s="8">
        <f aca="true" t="shared" si="8" ref="C44:K44">C40*C42</f>
        <v>16</v>
      </c>
      <c r="D44" s="8">
        <f t="shared" si="8"/>
        <v>24</v>
      </c>
      <c r="E44" s="8">
        <f t="shared" si="8"/>
        <v>20</v>
      </c>
      <c r="F44" s="8">
        <f t="shared" si="8"/>
        <v>15</v>
      </c>
      <c r="G44" s="8">
        <f t="shared" si="8"/>
        <v>6</v>
      </c>
      <c r="H44" s="8">
        <f t="shared" si="8"/>
        <v>0</v>
      </c>
      <c r="I44" s="8">
        <f t="shared" si="8"/>
        <v>0</v>
      </c>
      <c r="J44" s="8">
        <f t="shared" si="8"/>
        <v>0</v>
      </c>
      <c r="K44" s="8">
        <f t="shared" si="8"/>
        <v>30</v>
      </c>
      <c r="L44" s="9">
        <f>SUM(B44:K44)</f>
        <v>126</v>
      </c>
      <c r="M44" s="2">
        <f>L44/L42</f>
        <v>2.9302325581395348</v>
      </c>
      <c r="P44" s="3" t="s">
        <v>100</v>
      </c>
    </row>
    <row r="45" spans="1:14" ht="12">
      <c r="A45" s="26" t="s">
        <v>52</v>
      </c>
      <c r="B45" s="8">
        <f>(B40-3.98)^2*B41</f>
        <v>150.9668</v>
      </c>
      <c r="C45" s="8">
        <f aca="true" t="shared" si="9" ref="C45:K45">(C40-3.98)^2*C41</f>
        <v>31.3632</v>
      </c>
      <c r="D45" s="8">
        <f t="shared" si="9"/>
        <v>4.802</v>
      </c>
      <c r="E45" s="8">
        <f t="shared" si="9"/>
        <v>0.0036000000000000064</v>
      </c>
      <c r="F45" s="8">
        <f t="shared" si="9"/>
        <v>7.2828</v>
      </c>
      <c r="G45" s="8">
        <f t="shared" si="9"/>
        <v>4.0804</v>
      </c>
      <c r="H45" s="8">
        <f t="shared" si="9"/>
        <v>18.2408</v>
      </c>
      <c r="I45" s="8">
        <f t="shared" si="9"/>
        <v>16.160399999999996</v>
      </c>
      <c r="J45" s="8">
        <f t="shared" si="9"/>
        <v>50.40079999999999</v>
      </c>
      <c r="K45" s="8">
        <f t="shared" si="9"/>
        <v>253.68279999999996</v>
      </c>
      <c r="L45" s="9">
        <f>SUM(B45:K45)</f>
        <v>536.9836</v>
      </c>
      <c r="M45" s="2">
        <f>(L45+L46)/(58+42)</f>
        <v>7.777743</v>
      </c>
      <c r="N45" s="2"/>
    </row>
    <row r="46" spans="1:14" ht="12">
      <c r="A46" s="27" t="s">
        <v>53</v>
      </c>
      <c r="B46" s="11">
        <f>(B40-2.93)^2*B42</f>
        <v>55.873500000000014</v>
      </c>
      <c r="C46" s="11">
        <f aca="true" t="shared" si="10" ref="C46:K46">(C40-2.93)^2*C42</f>
        <v>6.919200000000003</v>
      </c>
      <c r="D46" s="11">
        <f t="shared" si="10"/>
        <v>0.03919999999999982</v>
      </c>
      <c r="E46" s="11">
        <f t="shared" si="10"/>
        <v>5.724499999999998</v>
      </c>
      <c r="F46" s="11">
        <f t="shared" si="10"/>
        <v>12.854699999999998</v>
      </c>
      <c r="G46" s="11">
        <f t="shared" si="10"/>
        <v>9.4249</v>
      </c>
      <c r="H46" s="11">
        <f t="shared" si="10"/>
        <v>0</v>
      </c>
      <c r="I46" s="11">
        <f t="shared" si="10"/>
        <v>0</v>
      </c>
      <c r="J46" s="11">
        <f t="shared" si="10"/>
        <v>0</v>
      </c>
      <c r="K46" s="11">
        <f t="shared" si="10"/>
        <v>149.9547</v>
      </c>
      <c r="L46" s="12">
        <f>SUM(B46:K46)</f>
        <v>240.79070000000002</v>
      </c>
      <c r="M46" s="2">
        <f>SQRT(M45*(59+43)/(59*43))</f>
        <v>0.5591993354148584</v>
      </c>
      <c r="N46" s="2"/>
    </row>
    <row r="47" spans="1:14" ht="12">
      <c r="A47" s="2"/>
      <c r="M47" s="2"/>
      <c r="N47" s="2"/>
    </row>
    <row r="48" spans="1:6" ht="12">
      <c r="A48" s="24" t="s">
        <v>39</v>
      </c>
      <c r="B48" s="16">
        <v>7.7777</v>
      </c>
      <c r="C48" s="25" t="s">
        <v>49</v>
      </c>
      <c r="D48" s="17">
        <v>100</v>
      </c>
      <c r="F48" s="3" t="s">
        <v>106</v>
      </c>
    </row>
    <row r="49" spans="1:6" ht="12">
      <c r="A49" s="26" t="s">
        <v>48</v>
      </c>
      <c r="B49" s="8">
        <v>0.5592</v>
      </c>
      <c r="C49" s="8"/>
      <c r="D49" s="9"/>
      <c r="F49" s="3" t="s">
        <v>107</v>
      </c>
    </row>
    <row r="50" spans="1:4" ht="12">
      <c r="A50" s="27" t="s">
        <v>47</v>
      </c>
      <c r="B50" s="11">
        <v>1.8827</v>
      </c>
      <c r="C50" s="11"/>
      <c r="D50" s="12"/>
    </row>
    <row r="52" ht="12">
      <c r="A52" s="29" t="s">
        <v>54</v>
      </c>
    </row>
    <row r="53" spans="1:6" ht="12.75" thickBot="1">
      <c r="A53" s="30"/>
      <c r="B53" s="31" t="s">
        <v>57</v>
      </c>
      <c r="C53" s="31" t="s">
        <v>58</v>
      </c>
      <c r="D53" s="59" t="s">
        <v>59</v>
      </c>
      <c r="E53" s="59"/>
      <c r="F53" s="32" t="s">
        <v>37</v>
      </c>
    </row>
    <row r="54" spans="1:11" ht="12.75" thickTop="1">
      <c r="A54" s="33" t="s">
        <v>55</v>
      </c>
      <c r="B54" s="8">
        <v>15</v>
      </c>
      <c r="C54" s="8">
        <v>34.45</v>
      </c>
      <c r="D54" s="55">
        <v>69.36</v>
      </c>
      <c r="E54" s="55"/>
      <c r="F54" s="9">
        <v>4.954</v>
      </c>
      <c r="H54" s="35"/>
      <c r="I54" s="8"/>
      <c r="J54" s="8"/>
      <c r="K54" s="8"/>
    </row>
    <row r="55" spans="1:11" ht="12">
      <c r="A55" s="36" t="s">
        <v>56</v>
      </c>
      <c r="B55" s="11">
        <v>11</v>
      </c>
      <c r="C55" s="11">
        <v>33.57</v>
      </c>
      <c r="D55" s="56">
        <v>13.66</v>
      </c>
      <c r="E55" s="56"/>
      <c r="F55" s="12">
        <v>1.366</v>
      </c>
      <c r="H55" s="38" t="s">
        <v>60</v>
      </c>
      <c r="I55" s="39" t="s">
        <v>61</v>
      </c>
      <c r="J55" s="39"/>
      <c r="K55" s="40"/>
    </row>
    <row r="57" spans="1:11" ht="12">
      <c r="A57" s="57" t="s">
        <v>62</v>
      </c>
      <c r="B57" s="57"/>
      <c r="C57" s="57"/>
      <c r="D57" s="57"/>
      <c r="E57" s="57"/>
      <c r="F57" s="57"/>
      <c r="G57" s="57"/>
      <c r="H57" s="57"/>
      <c r="I57" s="57"/>
      <c r="J57" s="13"/>
      <c r="K57" s="13"/>
    </row>
    <row r="58" spans="1:11" ht="12">
      <c r="A58" s="57" t="s">
        <v>63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</row>
    <row r="59" ht="12">
      <c r="A59" s="3" t="s">
        <v>64</v>
      </c>
    </row>
    <row r="60" spans="1:15" ht="12">
      <c r="A60" s="58" t="s">
        <v>65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</row>
    <row r="62" ht="12">
      <c r="A62" s="1" t="s">
        <v>66</v>
      </c>
    </row>
    <row r="63" ht="12">
      <c r="A63" s="1"/>
    </row>
    <row r="64" spans="1:4" ht="12">
      <c r="A64" s="63" t="s">
        <v>90</v>
      </c>
      <c r="B64" s="63"/>
      <c r="C64" s="63"/>
      <c r="D64" s="63"/>
    </row>
    <row r="65" spans="1:4" ht="12">
      <c r="A65" s="1"/>
      <c r="B65" s="1"/>
      <c r="C65" s="1"/>
      <c r="D65" s="1"/>
    </row>
    <row r="66" spans="1:4" ht="12">
      <c r="A66" s="1"/>
      <c r="B66" s="1"/>
      <c r="C66" s="1"/>
      <c r="D66" s="1"/>
    </row>
    <row r="67" spans="1:11" ht="12">
      <c r="A67" s="1"/>
      <c r="B67" s="64" t="s">
        <v>85</v>
      </c>
      <c r="C67" s="73" t="s">
        <v>86</v>
      </c>
      <c r="D67" s="73"/>
      <c r="E67" s="73"/>
      <c r="F67" s="73"/>
      <c r="G67" s="73"/>
      <c r="H67" s="16">
        <f>(34.45-33.57)/SQRT((4.95/15)+(1.366/11))</f>
        <v>1.3057733475715425</v>
      </c>
      <c r="I67" s="16"/>
      <c r="J67" s="16"/>
      <c r="K67" s="17"/>
    </row>
    <row r="68" spans="1:11" ht="12">
      <c r="A68" s="1"/>
      <c r="B68" s="65" t="s">
        <v>49</v>
      </c>
      <c r="C68" s="55" t="s">
        <v>87</v>
      </c>
      <c r="D68" s="55"/>
      <c r="E68" s="55"/>
      <c r="F68" s="55"/>
      <c r="G68" s="55"/>
      <c r="H68" s="55"/>
      <c r="I68" s="55"/>
      <c r="J68" s="8">
        <f>((4.95/15)+(1.366/11))^2/(((4.95/15)^2/14)+((1.366/11)^2/10))</f>
        <v>22.131543976180637</v>
      </c>
      <c r="K68" s="9"/>
    </row>
    <row r="69" spans="1:11" ht="12">
      <c r="A69" s="1"/>
      <c r="B69" s="19" t="s">
        <v>88</v>
      </c>
      <c r="C69" s="11"/>
      <c r="D69" s="11"/>
      <c r="E69" s="11"/>
      <c r="F69" s="11"/>
      <c r="G69" s="11"/>
      <c r="H69" s="11"/>
      <c r="I69" s="11"/>
      <c r="J69" s="11"/>
      <c r="K69" s="12"/>
    </row>
    <row r="71" spans="1:2" ht="12">
      <c r="A71" s="63" t="s">
        <v>89</v>
      </c>
      <c r="B71" s="63"/>
    </row>
    <row r="72" spans="1:2" ht="12">
      <c r="A72" s="1"/>
      <c r="B72" s="1"/>
    </row>
    <row r="73" spans="1:2" ht="12">
      <c r="A73" s="1"/>
      <c r="B73" s="1"/>
    </row>
    <row r="74" spans="2:11" ht="12">
      <c r="B74" s="64" t="s">
        <v>92</v>
      </c>
      <c r="C74" s="73" t="s">
        <v>109</v>
      </c>
      <c r="D74" s="73"/>
      <c r="E74" s="73"/>
      <c r="F74" s="16">
        <f>SQRT(3.46*(26/(15*11)))</f>
        <v>0.738384805648194</v>
      </c>
      <c r="G74" s="16"/>
      <c r="H74" s="16"/>
      <c r="I74" s="16"/>
      <c r="J74" s="16"/>
      <c r="K74" s="17"/>
    </row>
    <row r="75" spans="2:11" ht="12">
      <c r="B75" s="65" t="s">
        <v>91</v>
      </c>
      <c r="C75" s="55" t="s">
        <v>110</v>
      </c>
      <c r="D75" s="55"/>
      <c r="E75" s="55"/>
      <c r="F75" s="8">
        <f>(34.45-33.57)/0.738</f>
        <v>1.1924119241192446</v>
      </c>
      <c r="G75" s="8"/>
      <c r="H75" s="8"/>
      <c r="I75" s="8"/>
      <c r="J75" s="8"/>
      <c r="K75" s="9"/>
    </row>
    <row r="76" spans="2:11" ht="12">
      <c r="B76" s="19" t="s">
        <v>93</v>
      </c>
      <c r="C76" s="11"/>
      <c r="D76" s="11"/>
      <c r="E76" s="11"/>
      <c r="F76" s="11"/>
      <c r="G76" s="11"/>
      <c r="H76" s="11"/>
      <c r="I76" s="11"/>
      <c r="J76" s="11"/>
      <c r="K76" s="12"/>
    </row>
    <row r="79" ht="12">
      <c r="A79" s="1" t="s">
        <v>67</v>
      </c>
    </row>
    <row r="80" ht="12">
      <c r="A80" s="1"/>
    </row>
    <row r="81" spans="1:3" ht="12">
      <c r="A81" s="63"/>
      <c r="B81" s="63"/>
      <c r="C81" s="63"/>
    </row>
    <row r="82" spans="1:11" ht="12">
      <c r="A82" s="1"/>
      <c r="B82" s="15" t="s">
        <v>94</v>
      </c>
      <c r="C82" s="16"/>
      <c r="D82" s="16"/>
      <c r="E82" s="16"/>
      <c r="F82" s="16"/>
      <c r="G82" s="16"/>
      <c r="H82" s="16"/>
      <c r="I82" s="16"/>
      <c r="J82" s="16"/>
      <c r="K82" s="17"/>
    </row>
    <row r="83" spans="1:11" ht="12">
      <c r="A83" s="1"/>
      <c r="B83" s="74" t="s">
        <v>95</v>
      </c>
      <c r="C83" s="75"/>
      <c r="D83" s="75"/>
      <c r="E83" s="75"/>
      <c r="F83" s="75"/>
      <c r="G83" s="8">
        <f>0.88+2.064*(0.738)</f>
        <v>2.403232</v>
      </c>
      <c r="H83" s="34" t="s">
        <v>96</v>
      </c>
      <c r="I83" s="8">
        <f>0.88-2.064*(0.738)</f>
        <v>-0.6432319999999999</v>
      </c>
      <c r="J83" s="8"/>
      <c r="K83" s="9"/>
    </row>
    <row r="84" spans="1:11" ht="12">
      <c r="A84" s="1"/>
      <c r="B84" s="74" t="s">
        <v>97</v>
      </c>
      <c r="C84" s="75"/>
      <c r="D84" s="75"/>
      <c r="E84" s="75"/>
      <c r="F84" s="34"/>
      <c r="G84" s="8"/>
      <c r="H84" s="34"/>
      <c r="I84" s="8"/>
      <c r="J84" s="8"/>
      <c r="K84" s="9"/>
    </row>
    <row r="85" spans="1:11" ht="12">
      <c r="A85" s="1"/>
      <c r="B85" s="76" t="s">
        <v>98</v>
      </c>
      <c r="C85" s="77"/>
      <c r="D85" s="77"/>
      <c r="E85" s="77"/>
      <c r="F85" s="77"/>
      <c r="G85" s="11">
        <f>0.88+2.08*(0.674)</f>
        <v>2.28192</v>
      </c>
      <c r="H85" s="37" t="s">
        <v>96</v>
      </c>
      <c r="I85" s="11">
        <f>0.88-2.08*(0.674)</f>
        <v>-0.52192</v>
      </c>
      <c r="J85" s="11"/>
      <c r="K85" s="12"/>
    </row>
    <row r="86" spans="1:8" ht="12">
      <c r="A86" s="1"/>
      <c r="B86" s="14"/>
      <c r="C86" s="14"/>
      <c r="D86" s="14"/>
      <c r="E86" s="14"/>
      <c r="F86" s="14"/>
      <c r="H86" s="14"/>
    </row>
    <row r="88" ht="12">
      <c r="A88" s="1" t="s">
        <v>68</v>
      </c>
    </row>
    <row r="89" ht="12">
      <c r="A89" s="2"/>
    </row>
    <row r="90" spans="1:11" ht="12.75" thickBot="1">
      <c r="A90" s="43"/>
      <c r="B90" s="5">
        <v>1</v>
      </c>
      <c r="C90" s="5">
        <v>2</v>
      </c>
      <c r="D90" s="5">
        <v>3</v>
      </c>
      <c r="E90" s="5">
        <v>4</v>
      </c>
      <c r="F90" s="5">
        <v>5</v>
      </c>
      <c r="G90" s="5">
        <v>6</v>
      </c>
      <c r="H90" s="5">
        <v>7</v>
      </c>
      <c r="I90" s="5">
        <v>8</v>
      </c>
      <c r="J90" s="5">
        <v>9</v>
      </c>
      <c r="K90" s="32" t="s">
        <v>73</v>
      </c>
    </row>
    <row r="91" spans="1:11" ht="12.75" thickTop="1">
      <c r="A91" s="7" t="s">
        <v>69</v>
      </c>
      <c r="B91" s="8">
        <v>15</v>
      </c>
      <c r="C91" s="8">
        <v>2</v>
      </c>
      <c r="D91" s="8">
        <v>4</v>
      </c>
      <c r="E91" s="8">
        <v>1</v>
      </c>
      <c r="F91" s="8">
        <v>5</v>
      </c>
      <c r="G91" s="8">
        <v>7</v>
      </c>
      <c r="H91" s="8">
        <v>1</v>
      </c>
      <c r="I91" s="8">
        <v>0</v>
      </c>
      <c r="J91" s="8">
        <v>-3</v>
      </c>
      <c r="K91" s="9">
        <f>32/9</f>
        <v>3.5555555555555554</v>
      </c>
    </row>
    <row r="92" spans="1:11" ht="12">
      <c r="A92" s="41" t="s">
        <v>70</v>
      </c>
      <c r="B92" s="8">
        <v>6</v>
      </c>
      <c r="C92" s="8">
        <v>7</v>
      </c>
      <c r="D92" s="8">
        <v>3</v>
      </c>
      <c r="E92" s="8">
        <v>4</v>
      </c>
      <c r="F92" s="8">
        <v>3</v>
      </c>
      <c r="G92" s="8">
        <v>2</v>
      </c>
      <c r="H92" s="8">
        <v>3</v>
      </c>
      <c r="I92" s="8">
        <v>0</v>
      </c>
      <c r="J92" s="8">
        <v>-6</v>
      </c>
      <c r="K92" s="9">
        <f>22/9</f>
        <v>2.4444444444444446</v>
      </c>
    </row>
    <row r="93" spans="1:11" ht="12">
      <c r="A93" s="7" t="s">
        <v>74</v>
      </c>
      <c r="B93" s="8">
        <f>(B91-3.56)^2</f>
        <v>130.87359999999998</v>
      </c>
      <c r="C93" s="8">
        <f aca="true" t="shared" si="11" ref="C93:J93">(C91-3.56)^2</f>
        <v>2.4336</v>
      </c>
      <c r="D93" s="8">
        <f t="shared" si="11"/>
        <v>0.19359999999999997</v>
      </c>
      <c r="E93" s="8">
        <f t="shared" si="11"/>
        <v>6.5536</v>
      </c>
      <c r="F93" s="8">
        <f t="shared" si="11"/>
        <v>2.0736</v>
      </c>
      <c r="G93" s="8">
        <f t="shared" si="11"/>
        <v>11.833599999999999</v>
      </c>
      <c r="H93" s="8">
        <f t="shared" si="11"/>
        <v>6.5536</v>
      </c>
      <c r="I93" s="8">
        <f t="shared" si="11"/>
        <v>12.6736</v>
      </c>
      <c r="J93" s="8">
        <f t="shared" si="11"/>
        <v>43.03360000000001</v>
      </c>
      <c r="K93" s="9">
        <f>SUM(B93:J93)</f>
        <v>216.22239999999996</v>
      </c>
    </row>
    <row r="94" spans="1:11" ht="12">
      <c r="A94" s="7" t="s">
        <v>75</v>
      </c>
      <c r="B94" s="8">
        <f>(B92-2.44)^2</f>
        <v>12.6736</v>
      </c>
      <c r="C94" s="8">
        <f aca="true" t="shared" si="12" ref="C94:J94">(C92-2.44)^2</f>
        <v>20.793600000000005</v>
      </c>
      <c r="D94" s="8">
        <f t="shared" si="12"/>
        <v>0.31360000000000005</v>
      </c>
      <c r="E94" s="8">
        <f t="shared" si="12"/>
        <v>2.4336</v>
      </c>
      <c r="F94" s="8">
        <f t="shared" si="12"/>
        <v>0.31360000000000005</v>
      </c>
      <c r="G94" s="8">
        <f t="shared" si="12"/>
        <v>0.19359999999999997</v>
      </c>
      <c r="H94" s="8">
        <f t="shared" si="12"/>
        <v>0.31360000000000005</v>
      </c>
      <c r="I94" s="8">
        <f t="shared" si="12"/>
        <v>5.9536</v>
      </c>
      <c r="J94" s="8">
        <f t="shared" si="12"/>
        <v>71.2336</v>
      </c>
      <c r="K94" s="9">
        <f>SUM(B94:J94)</f>
        <v>114.2224</v>
      </c>
    </row>
    <row r="95" spans="1:11" ht="12">
      <c r="A95" s="7" t="s">
        <v>76</v>
      </c>
      <c r="B95" s="8">
        <f>B91-B92</f>
        <v>9</v>
      </c>
      <c r="C95" s="8">
        <f aca="true" t="shared" si="13" ref="C95:J95">C91-C92</f>
        <v>-5</v>
      </c>
      <c r="D95" s="8">
        <f t="shared" si="13"/>
        <v>1</v>
      </c>
      <c r="E95" s="8">
        <f t="shared" si="13"/>
        <v>-3</v>
      </c>
      <c r="F95" s="8">
        <f t="shared" si="13"/>
        <v>2</v>
      </c>
      <c r="G95" s="8">
        <f t="shared" si="13"/>
        <v>5</v>
      </c>
      <c r="H95" s="8">
        <f t="shared" si="13"/>
        <v>-2</v>
      </c>
      <c r="I95" s="8">
        <f t="shared" si="13"/>
        <v>0</v>
      </c>
      <c r="J95" s="8">
        <f t="shared" si="13"/>
        <v>3</v>
      </c>
      <c r="K95" s="9">
        <f>AVERAGE(B95:J95)</f>
        <v>1.1111111111111112</v>
      </c>
    </row>
    <row r="96" spans="1:15" ht="12.75">
      <c r="A96" s="70"/>
      <c r="B96" s="11">
        <f>(B95-1.111)^2</f>
        <v>62.236321000000004</v>
      </c>
      <c r="C96" s="11">
        <f aca="true" t="shared" si="14" ref="C96:J96">(C95-1.111)^2</f>
        <v>37.344320999999994</v>
      </c>
      <c r="D96" s="11">
        <f t="shared" si="14"/>
        <v>0.012320999999999997</v>
      </c>
      <c r="E96" s="11">
        <f t="shared" si="14"/>
        <v>16.900320999999998</v>
      </c>
      <c r="F96" s="11">
        <f t="shared" si="14"/>
        <v>0.790321</v>
      </c>
      <c r="G96" s="11">
        <f t="shared" si="14"/>
        <v>15.124321000000002</v>
      </c>
      <c r="H96" s="11">
        <f t="shared" si="14"/>
        <v>9.678320999999999</v>
      </c>
      <c r="I96" s="11">
        <f t="shared" si="14"/>
        <v>1.234321</v>
      </c>
      <c r="J96" s="11">
        <f t="shared" si="14"/>
        <v>3.568321</v>
      </c>
      <c r="K96" s="12">
        <f>SUM(B96:J96)</f>
        <v>146.888889</v>
      </c>
      <c r="L96"/>
      <c r="M96"/>
      <c r="N96"/>
      <c r="O96"/>
    </row>
    <row r="97" spans="4:15" ht="12.75">
      <c r="D97" s="2"/>
      <c r="L97"/>
      <c r="M97"/>
      <c r="N97"/>
      <c r="O97"/>
    </row>
    <row r="98" spans="3:15" ht="12.75">
      <c r="C98" s="2"/>
      <c r="L98"/>
      <c r="M98"/>
      <c r="N98"/>
      <c r="O98"/>
    </row>
    <row r="99" spans="12:15" ht="12.75">
      <c r="L99"/>
      <c r="M99"/>
      <c r="N99"/>
      <c r="O99"/>
    </row>
    <row r="100" spans="1:7" ht="12">
      <c r="A100" s="45" t="s">
        <v>46</v>
      </c>
      <c r="B100" s="16">
        <v>4.58951</v>
      </c>
      <c r="C100" s="49" t="s">
        <v>77</v>
      </c>
      <c r="D100" s="50"/>
      <c r="E100" s="51"/>
      <c r="F100" s="44"/>
      <c r="G100" s="17">
        <v>44.6566</v>
      </c>
    </row>
    <row r="101" spans="1:7" ht="12.75">
      <c r="A101" s="46" t="s">
        <v>71</v>
      </c>
      <c r="B101" s="8">
        <v>39.956</v>
      </c>
      <c r="C101" s="52" t="s">
        <v>78</v>
      </c>
      <c r="D101" s="53"/>
      <c r="E101" s="54"/>
      <c r="F101" s="34"/>
      <c r="G101" s="9">
        <v>22.441</v>
      </c>
    </row>
    <row r="102" spans="1:7" ht="12.75" customHeight="1">
      <c r="A102" s="47" t="s">
        <v>72</v>
      </c>
      <c r="B102" s="11">
        <v>18.361</v>
      </c>
      <c r="C102" s="19"/>
      <c r="D102" s="37"/>
      <c r="E102" s="48"/>
      <c r="F102" s="37"/>
      <c r="G102" s="12"/>
    </row>
    <row r="104" ht="12">
      <c r="A104" s="1" t="s">
        <v>79</v>
      </c>
    </row>
    <row r="106" spans="1:12" ht="12">
      <c r="A106" s="61" t="s">
        <v>10</v>
      </c>
      <c r="B106" s="16">
        <v>5.7</v>
      </c>
      <c r="C106" s="16">
        <v>3.2</v>
      </c>
      <c r="D106" s="16">
        <v>1.8</v>
      </c>
      <c r="E106" s="16">
        <v>2.3</v>
      </c>
      <c r="F106" s="16">
        <v>2.1</v>
      </c>
      <c r="G106" s="16">
        <v>0.9</v>
      </c>
      <c r="H106" s="16">
        <v>3.1</v>
      </c>
      <c r="I106" s="16">
        <v>2.8</v>
      </c>
      <c r="J106" s="16">
        <v>7.3</v>
      </c>
      <c r="K106" s="16">
        <v>8.4</v>
      </c>
      <c r="L106" s="62">
        <f>AVERAGE(B106:K106)</f>
        <v>3.7600000000000002</v>
      </c>
    </row>
    <row r="107" spans="1:12" ht="12">
      <c r="A107" s="7" t="s">
        <v>11</v>
      </c>
      <c r="B107" s="8">
        <v>2.4</v>
      </c>
      <c r="C107" s="8">
        <v>2.8</v>
      </c>
      <c r="D107" s="8">
        <v>1.9</v>
      </c>
      <c r="E107" s="8">
        <v>2</v>
      </c>
      <c r="F107" s="8">
        <v>0.9</v>
      </c>
      <c r="G107" s="8">
        <v>0.3</v>
      </c>
      <c r="H107" s="8">
        <v>3.6</v>
      </c>
      <c r="I107" s="8">
        <v>1.8</v>
      </c>
      <c r="J107" s="8">
        <v>5.8</v>
      </c>
      <c r="K107" s="8">
        <v>7.3</v>
      </c>
      <c r="L107" s="22">
        <f>AVERAGE(B107:K107)</f>
        <v>2.88</v>
      </c>
    </row>
    <row r="108" spans="1:12" ht="12">
      <c r="A108" s="7" t="s">
        <v>13</v>
      </c>
      <c r="B108" s="8">
        <v>3.3</v>
      </c>
      <c r="C108" s="8">
        <v>0.4</v>
      </c>
      <c r="D108" s="8">
        <v>-0.1</v>
      </c>
      <c r="E108" s="8">
        <v>0.3</v>
      </c>
      <c r="F108" s="8">
        <v>1.2</v>
      </c>
      <c r="G108" s="8">
        <v>0.6</v>
      </c>
      <c r="H108" s="8">
        <v>-0.5</v>
      </c>
      <c r="I108" s="8">
        <v>1</v>
      </c>
      <c r="J108" s="8">
        <v>1.5</v>
      </c>
      <c r="K108" s="8">
        <v>1.1</v>
      </c>
      <c r="L108" s="22">
        <f>AVERAGE(B108:K108)</f>
        <v>0.8799999999999999</v>
      </c>
    </row>
    <row r="109" spans="1:12" ht="12">
      <c r="A109" s="7" t="s">
        <v>80</v>
      </c>
      <c r="B109" s="8">
        <f>(B106-3.76)^2</f>
        <v>3.7636000000000016</v>
      </c>
      <c r="C109" s="8">
        <f aca="true" t="shared" si="15" ref="C109:K109">(C106-3.76)^2</f>
        <v>0.31359999999999955</v>
      </c>
      <c r="D109" s="8">
        <f t="shared" si="15"/>
        <v>3.841599999999999</v>
      </c>
      <c r="E109" s="8">
        <f t="shared" si="15"/>
        <v>2.1315999999999997</v>
      </c>
      <c r="F109" s="8">
        <f t="shared" si="15"/>
        <v>2.755599999999999</v>
      </c>
      <c r="G109" s="8">
        <f t="shared" si="15"/>
        <v>8.179599999999999</v>
      </c>
      <c r="H109" s="8">
        <f t="shared" si="15"/>
        <v>0.4355999999999996</v>
      </c>
      <c r="I109" s="8">
        <f t="shared" si="15"/>
        <v>0.9216</v>
      </c>
      <c r="J109" s="8">
        <f t="shared" si="15"/>
        <v>12.531600000000001</v>
      </c>
      <c r="K109" s="8">
        <f t="shared" si="15"/>
        <v>21.529600000000006</v>
      </c>
      <c r="L109" s="22">
        <f>SUM(B109:K109)</f>
        <v>56.40400000000001</v>
      </c>
    </row>
    <row r="110" spans="1:12" ht="12">
      <c r="A110" s="7" t="s">
        <v>81</v>
      </c>
      <c r="B110" s="8">
        <f>(B107-2.88)^2</f>
        <v>0.2304</v>
      </c>
      <c r="C110" s="8">
        <f aca="true" t="shared" si="16" ref="C110:K110">(C107-2.88)^2</f>
        <v>0.006400000000000012</v>
      </c>
      <c r="D110" s="8">
        <f t="shared" si="16"/>
        <v>0.9603999999999999</v>
      </c>
      <c r="E110" s="8">
        <f t="shared" si="16"/>
        <v>0.7743999999999999</v>
      </c>
      <c r="F110" s="8">
        <f t="shared" si="16"/>
        <v>3.9204</v>
      </c>
      <c r="G110" s="8">
        <f t="shared" si="16"/>
        <v>6.6564000000000005</v>
      </c>
      <c r="H110" s="8">
        <f t="shared" si="16"/>
        <v>0.5184000000000003</v>
      </c>
      <c r="I110" s="8">
        <f t="shared" si="16"/>
        <v>1.1663999999999997</v>
      </c>
      <c r="J110" s="8">
        <f t="shared" si="16"/>
        <v>8.526399999999999</v>
      </c>
      <c r="K110" s="8">
        <f t="shared" si="16"/>
        <v>19.5364</v>
      </c>
      <c r="L110" s="22">
        <f>SUM(B110:K110)</f>
        <v>42.296</v>
      </c>
    </row>
    <row r="111" spans="1:12" ht="12">
      <c r="A111" s="10" t="s">
        <v>82</v>
      </c>
      <c r="B111" s="11">
        <f>(B108-0.88)^2</f>
        <v>5.8564</v>
      </c>
      <c r="C111" s="11">
        <f aca="true" t="shared" si="17" ref="C111:K111">(C108-0.88)^2</f>
        <v>0.2304</v>
      </c>
      <c r="D111" s="11">
        <f t="shared" si="17"/>
        <v>0.9603999999999999</v>
      </c>
      <c r="E111" s="11">
        <f t="shared" si="17"/>
        <v>0.3364000000000001</v>
      </c>
      <c r="F111" s="11">
        <f t="shared" si="17"/>
        <v>0.10239999999999996</v>
      </c>
      <c r="G111" s="11">
        <f t="shared" si="17"/>
        <v>0.07840000000000001</v>
      </c>
      <c r="H111" s="11">
        <f t="shared" si="17"/>
        <v>1.9043999999999996</v>
      </c>
      <c r="I111" s="11">
        <f t="shared" si="17"/>
        <v>0.0144</v>
      </c>
      <c r="J111" s="11">
        <f t="shared" si="17"/>
        <v>0.3844</v>
      </c>
      <c r="K111" s="11">
        <f t="shared" si="17"/>
        <v>0.04840000000000004</v>
      </c>
      <c r="L111" s="23">
        <f>SUM(B111:K111)</f>
        <v>9.916</v>
      </c>
    </row>
    <row r="113" spans="1:7" ht="12">
      <c r="A113" s="45" t="s">
        <v>46</v>
      </c>
      <c r="B113" s="42">
        <f>((L109+L110)/18)</f>
        <v>5.483333333333334</v>
      </c>
      <c r="C113" s="42"/>
      <c r="D113" s="15"/>
      <c r="E113" s="16"/>
      <c r="F113" s="17"/>
      <c r="G113" s="17"/>
    </row>
    <row r="114" spans="1:7" ht="12">
      <c r="A114" s="67" t="s">
        <v>71</v>
      </c>
      <c r="B114" s="69">
        <f>2*B113-(2*B113-G115)/19</f>
        <v>10.459059649122809</v>
      </c>
      <c r="C114" s="69"/>
      <c r="D114" s="52" t="s">
        <v>77</v>
      </c>
      <c r="E114" s="53"/>
      <c r="F114" s="54"/>
      <c r="G114" s="9">
        <f>B114*(21/19)</f>
        <v>11.560013296398894</v>
      </c>
    </row>
    <row r="115" spans="1:7" ht="12">
      <c r="A115" s="68" t="s">
        <v>83</v>
      </c>
      <c r="B115" s="70">
        <f>(L111)/9</f>
        <v>1.1017777777777777</v>
      </c>
      <c r="C115" s="70"/>
      <c r="D115" s="71" t="s">
        <v>78</v>
      </c>
      <c r="E115" s="66"/>
      <c r="F115" s="72"/>
      <c r="G115" s="12">
        <f>B115*(12/10)</f>
        <v>1.3221333333333332</v>
      </c>
    </row>
    <row r="117" ht="12">
      <c r="A117" s="3" t="s">
        <v>99</v>
      </c>
    </row>
    <row r="121" ht="12">
      <c r="A121" s="1" t="s">
        <v>84</v>
      </c>
    </row>
    <row r="123" spans="1:9" ht="12.75">
      <c r="A123" s="78" t="s">
        <v>101</v>
      </c>
      <c r="B123" s="79"/>
      <c r="C123" s="79"/>
      <c r="D123" s="79"/>
      <c r="E123" s="79"/>
      <c r="F123" s="79"/>
      <c r="G123" s="79"/>
      <c r="H123" s="79"/>
      <c r="I123" s="80"/>
    </row>
    <row r="124" spans="1:9" ht="12.75">
      <c r="A124" s="81" t="s">
        <v>102</v>
      </c>
      <c r="B124" s="82"/>
      <c r="C124" s="82"/>
      <c r="D124" s="82"/>
      <c r="E124" s="82"/>
      <c r="F124" s="82"/>
      <c r="G124" s="60">
        <f>(1.4/1.22)</f>
        <v>1.1475409836065573</v>
      </c>
      <c r="H124" s="8"/>
      <c r="I124" s="9"/>
    </row>
    <row r="125" spans="1:9" ht="12.75">
      <c r="A125" s="83" t="s">
        <v>105</v>
      </c>
      <c r="B125" s="84"/>
      <c r="C125" s="84"/>
      <c r="D125" s="84"/>
      <c r="E125" s="85"/>
      <c r="F125" s="85"/>
      <c r="G125" s="86"/>
      <c r="H125" s="11"/>
      <c r="I125" s="12"/>
    </row>
    <row r="126" spans="1:2" ht="12.75">
      <c r="A126"/>
      <c r="B126"/>
    </row>
    <row r="127" spans="1:9" ht="12">
      <c r="A127" s="87" t="s">
        <v>103</v>
      </c>
      <c r="B127" s="88"/>
      <c r="C127" s="88"/>
      <c r="D127" s="88"/>
      <c r="E127" s="88"/>
      <c r="F127" s="88"/>
      <c r="G127" s="88"/>
      <c r="H127" s="16"/>
      <c r="I127" s="17"/>
    </row>
    <row r="128" spans="1:9" ht="12">
      <c r="A128" s="74" t="s">
        <v>104</v>
      </c>
      <c r="B128" s="75"/>
      <c r="C128" s="75"/>
      <c r="D128" s="75"/>
      <c r="E128" s="75"/>
      <c r="F128" s="75"/>
      <c r="G128" s="60">
        <f>1.2/1.105</f>
        <v>1.085972850678733</v>
      </c>
      <c r="H128" s="8"/>
      <c r="I128" s="9"/>
    </row>
    <row r="129" spans="1:9" ht="12">
      <c r="A129" s="19" t="s">
        <v>108</v>
      </c>
      <c r="B129" s="11"/>
      <c r="C129" s="11"/>
      <c r="D129" s="11"/>
      <c r="E129" s="11"/>
      <c r="F129" s="11"/>
      <c r="G129" s="11"/>
      <c r="H129" s="11"/>
      <c r="I129" s="12"/>
    </row>
  </sheetData>
  <mergeCells count="27">
    <mergeCell ref="A123:I123"/>
    <mergeCell ref="A124:F124"/>
    <mergeCell ref="A128:F128"/>
    <mergeCell ref="A127:G127"/>
    <mergeCell ref="A125:D125"/>
    <mergeCell ref="D114:F114"/>
    <mergeCell ref="D115:F115"/>
    <mergeCell ref="A64:D64"/>
    <mergeCell ref="C67:G67"/>
    <mergeCell ref="C68:I68"/>
    <mergeCell ref="A71:B71"/>
    <mergeCell ref="C74:E74"/>
    <mergeCell ref="A81:C81"/>
    <mergeCell ref="B83:F83"/>
    <mergeCell ref="A15:G15"/>
    <mergeCell ref="A18:F18"/>
    <mergeCell ref="D53:E53"/>
    <mergeCell ref="A60:O60"/>
    <mergeCell ref="C100:E100"/>
    <mergeCell ref="C101:E101"/>
    <mergeCell ref="D54:E54"/>
    <mergeCell ref="D55:E55"/>
    <mergeCell ref="A57:I57"/>
    <mergeCell ref="A58:K58"/>
    <mergeCell ref="B84:E84"/>
    <mergeCell ref="B85:F85"/>
    <mergeCell ref="C75:E75"/>
  </mergeCells>
  <printOptions/>
  <pageMargins left="0.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lastPrinted>2003-12-03T04:18:50Z</cp:lastPrinted>
  <dcterms:created xsi:type="dcterms:W3CDTF">2003-12-02T10:04:42Z</dcterms:created>
  <dcterms:modified xsi:type="dcterms:W3CDTF">2003-12-03T04:19:57Z</dcterms:modified>
  <cp:category/>
  <cp:version/>
  <cp:contentType/>
  <cp:contentStatus/>
</cp:coreProperties>
</file>