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91" windowWidth="21720" windowHeight="13620" activeTab="2"/>
  </bookViews>
  <sheets>
    <sheet name="Recursive" sheetId="1" r:id="rId1"/>
    <sheet name="Fwd_Look" sheetId="2" r:id="rId2"/>
    <sheet name="Damage" sheetId="3" r:id="rId3"/>
  </sheets>
  <definedNames>
    <definedName name="_xlnm.Print_Area" localSheetId="0">'Recursive'!$A$1:$Q$37</definedName>
    <definedName name="solver_adj" localSheetId="2" hidden="1">'Damage'!$F$7:$F$21</definedName>
    <definedName name="solver_adj" localSheetId="1" hidden="1">'Fwd_Look'!$F$7:$F$16</definedName>
    <definedName name="solver_adj" localSheetId="0" hidden="1">'Recursive'!$F$7:$F$16</definedName>
    <definedName name="solver_cvg" localSheetId="2" hidden="1">0.0001</definedName>
    <definedName name="solver_cvg" localSheetId="1" hidden="1">0.0001</definedName>
    <definedName name="solver_cvg" localSheetId="0" hidden="1">0.0001</definedName>
    <definedName name="solver_drv" localSheetId="2" hidden="1">1</definedName>
    <definedName name="solver_drv" localSheetId="1" hidden="1">1</definedName>
    <definedName name="solver_drv" localSheetId="0" hidden="1">1</definedName>
    <definedName name="solver_est" localSheetId="2" hidden="1">1</definedName>
    <definedName name="solver_est" localSheetId="1" hidden="1">1</definedName>
    <definedName name="solver_est" localSheetId="0" hidden="1">1</definedName>
    <definedName name="solver_itr" localSheetId="2" hidden="1">100</definedName>
    <definedName name="solver_itr" localSheetId="1" hidden="1">100</definedName>
    <definedName name="solver_itr" localSheetId="0" hidden="1">100</definedName>
    <definedName name="solver_lhs1" localSheetId="2" hidden="1">'Damage'!$F$7:$F$21</definedName>
    <definedName name="solver_lhs1" localSheetId="0" hidden="1">'Recursive'!$P$24:$P$33</definedName>
    <definedName name="solver_lhs2" localSheetId="2" hidden="1">'Damage'!$S$6:$S$21</definedName>
    <definedName name="solver_lhs3" localSheetId="2" hidden="1">'Damage'!$F$7:$F$16</definedName>
    <definedName name="solver_lin" localSheetId="2" hidden="1">2</definedName>
    <definedName name="solver_lin" localSheetId="1" hidden="1">2</definedName>
    <definedName name="solver_lin" localSheetId="0" hidden="1">2</definedName>
    <definedName name="solver_neg" localSheetId="2" hidden="1">2</definedName>
    <definedName name="solver_neg" localSheetId="1" hidden="1">2</definedName>
    <definedName name="solver_neg" localSheetId="0" hidden="1">2</definedName>
    <definedName name="solver_num" localSheetId="2" hidden="1">1</definedName>
    <definedName name="solver_num" localSheetId="1" hidden="1">0</definedName>
    <definedName name="solver_num" localSheetId="0" hidden="1">1</definedName>
    <definedName name="solver_nwt" localSheetId="2" hidden="1">1</definedName>
    <definedName name="solver_nwt" localSheetId="1" hidden="1">1</definedName>
    <definedName name="solver_nwt" localSheetId="0" hidden="1">1</definedName>
    <definedName name="solver_opt" localSheetId="2" hidden="1">'Damage'!$M$22</definedName>
    <definedName name="solver_opt" localSheetId="1" hidden="1">'Fwd_Look'!$M$17</definedName>
    <definedName name="solver_opt" localSheetId="0" hidden="1">'Recursive'!$M$17</definedName>
    <definedName name="solver_pre" localSheetId="2" hidden="1">0.000001</definedName>
    <definedName name="solver_pre" localSheetId="1" hidden="1">0.000001</definedName>
    <definedName name="solver_pre" localSheetId="0" hidden="1">0.000001</definedName>
    <definedName name="solver_rel1" localSheetId="2" hidden="1">3</definedName>
    <definedName name="solver_rel1" localSheetId="0" hidden="1">1</definedName>
    <definedName name="solver_rel2" localSheetId="2" hidden="1">1</definedName>
    <definedName name="solver_rel3" localSheetId="2" hidden="1">3</definedName>
    <definedName name="solver_rhs1" localSheetId="2" hidden="1">0</definedName>
    <definedName name="solver_rhs1" localSheetId="0" hidden="1">'Recursive'!$Q$24:$Q$33</definedName>
    <definedName name="solver_rhs2" localSheetId="2" hidden="1">2.5</definedName>
    <definedName name="solver_rhs3" localSheetId="2" hidden="1">0</definedName>
    <definedName name="solver_scl" localSheetId="2" hidden="1">2</definedName>
    <definedName name="solver_scl" localSheetId="1" hidden="1">2</definedName>
    <definedName name="solver_scl" localSheetId="0" hidden="1">2</definedName>
    <definedName name="solver_sho" localSheetId="2" hidden="1">2</definedName>
    <definedName name="solver_sho" localSheetId="1" hidden="1">2</definedName>
    <definedName name="solver_sho" localSheetId="0" hidden="1">2</definedName>
    <definedName name="solver_tim" localSheetId="2" hidden="1">100</definedName>
    <definedName name="solver_tim" localSheetId="1" hidden="1">100</definedName>
    <definedName name="solver_tim" localSheetId="0" hidden="1">100</definedName>
    <definedName name="solver_tol" localSheetId="2" hidden="1">0.05</definedName>
    <definedName name="solver_tol" localSheetId="1" hidden="1">0.05</definedName>
    <definedName name="solver_tol" localSheetId="0" hidden="1">0.05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<sst xmlns="http://schemas.openxmlformats.org/spreadsheetml/2006/main" count="237" uniqueCount="80">
  <si>
    <t>Cum.</t>
  </si>
  <si>
    <t>Energy</t>
  </si>
  <si>
    <t>Log</t>
  </si>
  <si>
    <t>Disc't</t>
  </si>
  <si>
    <t>PV</t>
  </si>
  <si>
    <t>Carbon</t>
  </si>
  <si>
    <t>Atmos</t>
  </si>
  <si>
    <t>Time</t>
  </si>
  <si>
    <t>Labor</t>
  </si>
  <si>
    <t>Capital</t>
  </si>
  <si>
    <t>Inv</t>
  </si>
  <si>
    <t>TechChg</t>
  </si>
  <si>
    <t>Price</t>
  </si>
  <si>
    <t>Cons</t>
  </si>
  <si>
    <t>Factor</t>
  </si>
  <si>
    <t>Emiss</t>
  </si>
  <si>
    <t>Stock</t>
  </si>
  <si>
    <t>Conc</t>
  </si>
  <si>
    <t>Growth</t>
  </si>
  <si>
    <t>Step</t>
  </si>
  <si>
    <t>ln(c)*dfac</t>
  </si>
  <si>
    <t>e(t)/e(t-1)</t>
  </si>
  <si>
    <t>Intensity</t>
  </si>
  <si>
    <t>Decline</t>
  </si>
  <si>
    <t>r</t>
  </si>
  <si>
    <t>k0</t>
  </si>
  <si>
    <t>l0</t>
  </si>
  <si>
    <t>e0</t>
  </si>
  <si>
    <t>i0</t>
  </si>
  <si>
    <t>m0</t>
  </si>
  <si>
    <t>GDP</t>
  </si>
  <si>
    <t>α</t>
  </si>
  <si>
    <t>β</t>
  </si>
  <si>
    <t>δ</t>
  </si>
  <si>
    <t>λ</t>
  </si>
  <si>
    <t>a0</t>
  </si>
  <si>
    <t>ε</t>
  </si>
  <si>
    <t>μ</t>
  </si>
  <si>
    <t>σ</t>
  </si>
  <si>
    <t>ρ</t>
  </si>
  <si>
    <t>Θ</t>
  </si>
  <si>
    <t>γ</t>
  </si>
  <si>
    <t>ν</t>
  </si>
  <si>
    <r>
      <t>τ</t>
    </r>
    <r>
      <rPr>
        <sz val="10"/>
        <rFont val="Arial"/>
        <family val="0"/>
      </rPr>
      <t>e</t>
    </r>
  </si>
  <si>
    <t>ω</t>
  </si>
  <si>
    <t>η</t>
  </si>
  <si>
    <t>ln(c)</t>
  </si>
  <si>
    <t>c</t>
  </si>
  <si>
    <t>i</t>
  </si>
  <si>
    <t>e</t>
  </si>
  <si>
    <t>y</t>
  </si>
  <si>
    <t>a</t>
  </si>
  <si>
    <t>l</t>
  </si>
  <si>
    <t>k</t>
  </si>
  <si>
    <t>cume</t>
  </si>
  <si>
    <t>pe</t>
  </si>
  <si>
    <t>dfac</t>
  </si>
  <si>
    <t>conc</t>
  </si>
  <si>
    <t>m</t>
  </si>
  <si>
    <t>stkm</t>
  </si>
  <si>
    <t>m/y</t>
  </si>
  <si>
    <t>15.023-12.848-ESD-128 (Spring 2008)  Homework #2  Sample Worksheet</t>
  </si>
  <si>
    <t>Radiative</t>
  </si>
  <si>
    <t xml:space="preserve">Damage </t>
  </si>
  <si>
    <t>Forcing</t>
  </si>
  <si>
    <t>Function</t>
  </si>
  <si>
    <t>F(t)</t>
  </si>
  <si>
    <t>D(t)</t>
  </si>
  <si>
    <t>LAM</t>
  </si>
  <si>
    <t>C1</t>
  </si>
  <si>
    <t>C3</t>
  </si>
  <si>
    <t>C4</t>
  </si>
  <si>
    <t>15.023-12.848-ESD-128 (Spring 2008)  Homework #3  Sample Worksheet</t>
  </si>
  <si>
    <t>Temp</t>
  </si>
  <si>
    <r>
      <t xml:space="preserve">Δ </t>
    </r>
    <r>
      <rPr>
        <sz val="10"/>
        <rFont val="Arial"/>
        <family val="0"/>
      </rPr>
      <t>Atmos</t>
    </r>
  </si>
  <si>
    <t>Δ Ocean</t>
  </si>
  <si>
    <t>T(t)</t>
  </si>
  <si>
    <t>T*(t)</t>
  </si>
  <si>
    <t>a1</t>
  </si>
  <si>
    <t>a2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</si>
</sst>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1.5"/>
      <name val="Arial"/>
      <family val="0"/>
    </font>
    <font>
      <b/>
      <sz val="11.5"/>
      <name val="Arial"/>
      <family val="0"/>
    </font>
    <font>
      <sz val="10"/>
      <name val="Times New Roman"/>
      <family val="1"/>
    </font>
    <font>
      <sz val="9.7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8"/>
      <name val="Arial"/>
      <family val="0"/>
    </font>
    <font>
      <sz val="12"/>
      <name val="Lucida Grande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/>
    </xf>
    <xf numFmtId="1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66" fontId="0" fillId="3" borderId="0" xfId="0" applyNumberFormat="1" applyFont="1" applyFill="1" applyAlignment="1">
      <alignment/>
    </xf>
    <xf numFmtId="166" fontId="0" fillId="0" borderId="1" xfId="0" applyNumberFormat="1" applyBorder="1" applyAlignment="1">
      <alignment/>
    </xf>
    <xf numFmtId="0" fontId="0" fillId="0" borderId="0" xfId="0" applyFont="1" applyAlignment="1">
      <alignment horizontal="center"/>
    </xf>
    <xf numFmtId="164" fontId="0" fillId="0" borderId="5" xfId="0" applyNumberForma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4" borderId="3" xfId="0" applyFill="1" applyBorder="1" applyAlignment="1">
      <alignment/>
    </xf>
    <xf numFmtId="164" fontId="0" fillId="4" borderId="6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6" fontId="0" fillId="4" borderId="0" xfId="0" applyNumberFormat="1" applyFill="1" applyAlignment="1">
      <alignment/>
    </xf>
    <xf numFmtId="166" fontId="0" fillId="4" borderId="0" xfId="0" applyNumberFormat="1" applyFill="1" applyBorder="1" applyAlignment="1">
      <alignment/>
    </xf>
    <xf numFmtId="0" fontId="0" fillId="4" borderId="4" xfId="0" applyFill="1" applyBorder="1" applyAlignment="1">
      <alignment/>
    </xf>
    <xf numFmtId="164" fontId="0" fillId="4" borderId="5" xfId="0" applyNumberFormat="1" applyFill="1" applyBorder="1" applyAlignment="1">
      <alignment/>
    </xf>
    <xf numFmtId="165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6" fontId="0" fillId="4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Recursive!$B$5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Recursive!$P$6:$P$16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Recursive!$H$5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Recursive!$H$6:$H$16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401199"/>
        <c:axId val="58393064"/>
      </c:lineChart>
      <c:lineChart>
        <c:grouping val="standard"/>
        <c:varyColors val="0"/>
        <c:ser>
          <c:idx val="0"/>
          <c:order val="3"/>
          <c:tx>
            <c:strRef>
              <c:f>Recursive!$N$5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Recursive!$N$6:$N$16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775529"/>
        <c:axId val="32217714"/>
      </c:lineChart>
      <c:catAx>
        <c:axId val="21401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93064"/>
        <c:crosses val="autoZero"/>
        <c:auto val="1"/>
        <c:lblOffset val="100"/>
        <c:noMultiLvlLbl val="0"/>
      </c:catAx>
      <c:valAx>
        <c:axId val="58393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01199"/>
        <c:crossesAt val="1"/>
        <c:crossBetween val="midCat"/>
        <c:dispUnits/>
      </c:valAx>
      <c:catAx>
        <c:axId val="55775529"/>
        <c:scaling>
          <c:orientation val="minMax"/>
        </c:scaling>
        <c:axPos val="b"/>
        <c:delete val="1"/>
        <c:majorTickMark val="in"/>
        <c:minorTickMark val="none"/>
        <c:tickLblPos val="nextTo"/>
        <c:crossAx val="32217714"/>
        <c:crosses val="autoZero"/>
        <c:auto val="1"/>
        <c:lblOffset val="100"/>
        <c:noMultiLvlLbl val="0"/>
      </c:catAx>
      <c:valAx>
        <c:axId val="3221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77552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Fwd_Look!$B$5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Recursive!$P$5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Recursive!$P$6:$P$16</c:f>
              <c:numCache>
                <c:ptCount val="11"/>
              </c:numCache>
            </c:numRef>
          </c:val>
          <c:smooth val="0"/>
        </c:ser>
        <c:ser>
          <c:idx val="5"/>
          <c:order val="2"/>
          <c:tx>
            <c:strRef>
              <c:f>Fwd_Look!$H$5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Fwd_Look!$A$6:$A$16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Fwd_Look!$H$6:$H$16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523971"/>
        <c:axId val="59498012"/>
      </c:lineChart>
      <c:lineChart>
        <c:grouping val="standard"/>
        <c:varyColors val="0"/>
        <c:ser>
          <c:idx val="0"/>
          <c:order val="3"/>
          <c:tx>
            <c:strRef>
              <c:f>Fwd_Look!$N$5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Fwd_Look!$N$6:$N$16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720061"/>
        <c:axId val="54609638"/>
      </c:lineChart>
      <c:catAx>
        <c:axId val="21523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98012"/>
        <c:crosses val="autoZero"/>
        <c:auto val="1"/>
        <c:lblOffset val="100"/>
        <c:noMultiLvlLbl val="0"/>
      </c:catAx>
      <c:valAx>
        <c:axId val="59498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23971"/>
        <c:crossesAt val="1"/>
        <c:crossBetween val="midCat"/>
        <c:dispUnits/>
      </c:valAx>
      <c:catAx>
        <c:axId val="65720061"/>
        <c:scaling>
          <c:orientation val="minMax"/>
        </c:scaling>
        <c:axPos val="b"/>
        <c:delete val="1"/>
        <c:majorTickMark val="in"/>
        <c:minorTickMark val="none"/>
        <c:tickLblPos val="nextTo"/>
        <c:crossAx val="54609638"/>
        <c:crosses val="autoZero"/>
        <c:auto val="1"/>
        <c:lblOffset val="100"/>
        <c:noMultiLvlLbl val="0"/>
      </c:catAx>
      <c:valAx>
        <c:axId val="54609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2006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Damage!$B$5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Fwd_Look!$A$6:$A$16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Damage!$B$6:$B$16</c:f>
              <c:numCache>
                <c:ptCount val="11"/>
                <c:pt idx="0">
                  <c:v>44.32106292501981</c:v>
                </c:pt>
                <c:pt idx="1">
                  <c:v>56.39401199696188</c:v>
                </c:pt>
                <c:pt idx="2">
                  <c:v>71.20319927829215</c:v>
                </c:pt>
                <c:pt idx="3">
                  <c:v>89.53656010219767</c:v>
                </c:pt>
                <c:pt idx="4">
                  <c:v>112.37755080187156</c:v>
                </c:pt>
                <c:pt idx="5">
                  <c:v>140.96813478536083</c:v>
                </c:pt>
                <c:pt idx="6">
                  <c:v>176.88759703398432</c:v>
                </c:pt>
                <c:pt idx="7">
                  <c:v>222.15365401178897</c:v>
                </c:pt>
                <c:pt idx="8">
                  <c:v>279.3535990499983</c:v>
                </c:pt>
                <c:pt idx="9">
                  <c:v>351.8154442009302</c:v>
                </c:pt>
                <c:pt idx="10">
                  <c:v>443.83220729671734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Damage!$P$5</c:f>
              <c:strCache>
                <c:ptCount val="1"/>
                <c:pt idx="0">
                  <c:v>conc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Recursive!$A$6:$A$16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Damage!$P$6:$P$16</c:f>
              <c:numCache>
                <c:ptCount val="11"/>
                <c:pt idx="0">
                  <c:v>369.94956441999085</c:v>
                </c:pt>
                <c:pt idx="1">
                  <c:v>389.7697759009153</c:v>
                </c:pt>
                <c:pt idx="2">
                  <c:v>407.9988847222795</c:v>
                </c:pt>
                <c:pt idx="3">
                  <c:v>424.76461947445176</c:v>
                </c:pt>
                <c:pt idx="4">
                  <c:v>440.184455108477</c:v>
                </c:pt>
                <c:pt idx="5">
                  <c:v>454.3664360651748</c:v>
                </c:pt>
                <c:pt idx="6">
                  <c:v>467.4099333260881</c:v>
                </c:pt>
                <c:pt idx="7">
                  <c:v>479.40634069082233</c:v>
                </c:pt>
                <c:pt idx="8">
                  <c:v>490.4397151594864</c:v>
                </c:pt>
                <c:pt idx="9">
                  <c:v>500.5873659072956</c:v>
                </c:pt>
                <c:pt idx="10">
                  <c:v>509.9203959781928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Damage!$H$5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Fwd_Look!$A$6:$A$16</c:f>
              <c:numCache>
                <c:ptCount val="11"/>
                <c:pt idx="0">
                  <c:v>2000</c:v>
                </c:pt>
                <c:pt idx="1">
                  <c:v>2010</c:v>
                </c:pt>
                <c:pt idx="2">
                  <c:v>2020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  <c:pt idx="6">
                  <c:v>2060</c:v>
                </c:pt>
                <c:pt idx="7">
                  <c:v>2070</c:v>
                </c:pt>
                <c:pt idx="8">
                  <c:v>2080</c:v>
                </c:pt>
                <c:pt idx="9">
                  <c:v>2090</c:v>
                </c:pt>
                <c:pt idx="10">
                  <c:v>2100</c:v>
                </c:pt>
              </c:numCache>
            </c:numRef>
          </c:cat>
          <c:val>
            <c:numRef>
              <c:f>Damage!$H$6:$H$16</c:f>
              <c:numCache>
                <c:ptCount val="11"/>
                <c:pt idx="0">
                  <c:v>28.57042908151545</c:v>
                </c:pt>
                <c:pt idx="1">
                  <c:v>37.71867264121236</c:v>
                </c:pt>
                <c:pt idx="2">
                  <c:v>48.97599543706787</c:v>
                </c:pt>
                <c:pt idx="3">
                  <c:v>62.95327097807483</c:v>
                </c:pt>
                <c:pt idx="4">
                  <c:v>80.41311031511499</c:v>
                </c:pt>
                <c:pt idx="5">
                  <c:v>102.31878149621781</c:v>
                </c:pt>
                <c:pt idx="6">
                  <c:v>129.8954026095847</c:v>
                </c:pt>
                <c:pt idx="7">
                  <c:v>164.7084215577668</c:v>
                </c:pt>
                <c:pt idx="8">
                  <c:v>208.76537247638998</c:v>
                </c:pt>
                <c:pt idx="9">
                  <c:v>264.64860461626046</c:v>
                </c:pt>
                <c:pt idx="10">
                  <c:v>335.68912169143954</c:v>
                </c:pt>
              </c:numCache>
            </c:numRef>
          </c:val>
          <c:smooth val="0"/>
        </c:ser>
        <c:marker val="1"/>
        <c:axId val="21724695"/>
        <c:axId val="61304528"/>
      </c:lineChart>
      <c:lineChart>
        <c:grouping val="standard"/>
        <c:varyColors val="0"/>
        <c:ser>
          <c:idx val="0"/>
          <c:order val="3"/>
          <c:tx>
            <c:strRef>
              <c:f>Damage!$N$5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Damage!$N$6:$N$16</c:f>
              <c:numCache>
                <c:ptCount val="11"/>
                <c:pt idx="0">
                  <c:v>10.799999999999999</c:v>
                </c:pt>
                <c:pt idx="1">
                  <c:v>10.799999999999999</c:v>
                </c:pt>
                <c:pt idx="2">
                  <c:v>10.799999999999999</c:v>
                </c:pt>
                <c:pt idx="3">
                  <c:v>10.799999999999999</c:v>
                </c:pt>
                <c:pt idx="4">
                  <c:v>10.799999999999999</c:v>
                </c:pt>
                <c:pt idx="5">
                  <c:v>10.799999999999999</c:v>
                </c:pt>
                <c:pt idx="6">
                  <c:v>10.799999999999999</c:v>
                </c:pt>
                <c:pt idx="7">
                  <c:v>10.799999999999999</c:v>
                </c:pt>
                <c:pt idx="8">
                  <c:v>10.799999999999999</c:v>
                </c:pt>
                <c:pt idx="9">
                  <c:v>10.799999999999999</c:v>
                </c:pt>
                <c:pt idx="10">
                  <c:v>10.799999999999999</c:v>
                </c:pt>
              </c:numCache>
            </c:numRef>
          </c:val>
          <c:smooth val="0"/>
        </c:ser>
        <c:marker val="1"/>
        <c:axId val="14869841"/>
        <c:axId val="66719706"/>
      </c:lineChart>
      <c:catAx>
        <c:axId val="2172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04528"/>
        <c:crosses val="autoZero"/>
        <c:auto val="1"/>
        <c:lblOffset val="100"/>
        <c:noMultiLvlLbl val="0"/>
      </c:catAx>
      <c:valAx>
        <c:axId val="61304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y ($), c ($), conc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24695"/>
        <c:crossesAt val="1"/>
        <c:crossBetween val="midCat"/>
        <c:dispUnits/>
      </c:valAx>
      <c:catAx>
        <c:axId val="14869841"/>
        <c:scaling>
          <c:orientation val="minMax"/>
        </c:scaling>
        <c:axPos val="b"/>
        <c:delete val="1"/>
        <c:majorTickMark val="in"/>
        <c:minorTickMark val="none"/>
        <c:tickLblPos val="nextTo"/>
        <c:crossAx val="66719706"/>
        <c:crosses val="autoZero"/>
        <c:auto val="1"/>
        <c:lblOffset val="100"/>
        <c:noMultiLvlLbl val="0"/>
      </c:catAx>
      <c:valAx>
        <c:axId val="6671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m (GtC/yr)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86984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17</xdr:row>
      <xdr:rowOff>152400</xdr:rowOff>
    </xdr:from>
    <xdr:to>
      <xdr:col>13</xdr:col>
      <xdr:colOff>238125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390650" y="2895600"/>
        <a:ext cx="50101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22</xdr:row>
      <xdr:rowOff>123825</xdr:rowOff>
    </xdr:from>
    <xdr:to>
      <xdr:col>12</xdr:col>
      <xdr:colOff>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933450" y="3676650"/>
        <a:ext cx="46482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7"/>
  <sheetViews>
    <sheetView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61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59.25750112902362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f>0.5*(F$6*B6^0.25)</f>
        <v>775.090543279266</v>
      </c>
      <c r="G7" s="11">
        <f aca="true" t="shared" si="10" ref="G7:G16">B$28*B7</f>
        <v>13.036650248385197</v>
      </c>
      <c r="H7" s="12">
        <f t="shared" si="1"/>
        <v>38.12288998070579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3.640814888627625</v>
      </c>
      <c r="L7" s="13">
        <f t="shared" si="3"/>
        <v>0.744093914896725</v>
      </c>
      <c r="M7" s="12">
        <f t="shared" si="4"/>
        <v>2.7091082038932135</v>
      </c>
      <c r="N7" s="12">
        <f t="shared" si="5"/>
        <v>13.951629779026787</v>
      </c>
      <c r="Q7" s="13">
        <f aca="true" t="shared" si="13" ref="Q7:Q16">F7/F6</f>
        <v>1.29181757213211</v>
      </c>
    </row>
    <row r="8" spans="1:17" ht="12.75">
      <c r="A8" s="10">
        <f t="shared" si="6"/>
        <v>2020</v>
      </c>
      <c r="B8" s="27">
        <f t="shared" si="0"/>
        <v>76.37999603244363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235.66228847760607</v>
      </c>
      <c r="F8" s="14">
        <f aca="true" t="shared" si="14" ref="F8:F16">0.5*(F$6*B7^0.25)</f>
        <v>832.3521162942712</v>
      </c>
      <c r="G8" s="11">
        <f t="shared" si="10"/>
        <v>16.8035991271376</v>
      </c>
      <c r="H8" s="12">
        <f t="shared" si="1"/>
        <v>50.34628743951775</v>
      </c>
      <c r="I8" s="11">
        <f t="shared" si="11"/>
        <v>13750.90543279266</v>
      </c>
      <c r="J8" s="13">
        <f t="shared" si="12"/>
        <v>0.011089188439721643</v>
      </c>
      <c r="K8" s="12">
        <f t="shared" si="2"/>
        <v>3.918924881381812</v>
      </c>
      <c r="L8" s="13">
        <f t="shared" si="3"/>
        <v>0.5536757541863347</v>
      </c>
      <c r="M8" s="12">
        <f t="shared" si="4"/>
        <v>2.169813689298667</v>
      </c>
      <c r="N8" s="12">
        <f t="shared" si="5"/>
        <v>14.982338093296882</v>
      </c>
      <c r="Q8" s="13">
        <f t="shared" si="13"/>
        <v>1.073877269580328</v>
      </c>
    </row>
    <row r="9" spans="1:17" ht="12.75">
      <c r="A9" s="10">
        <f t="shared" si="6"/>
        <v>2030</v>
      </c>
      <c r="B9" s="27">
        <f t="shared" si="0"/>
        <v>97.82986690490469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309.13570856836975</v>
      </c>
      <c r="F9" s="14">
        <f t="shared" si="14"/>
        <v>886.8826574936132</v>
      </c>
      <c r="G9" s="11">
        <f t="shared" si="10"/>
        <v>21.52257071907903</v>
      </c>
      <c r="H9" s="12">
        <f t="shared" si="1"/>
        <v>65.77831858879024</v>
      </c>
      <c r="I9" s="11">
        <f t="shared" si="11"/>
        <v>22074.42659573537</v>
      </c>
      <c r="J9" s="13">
        <f t="shared" si="12"/>
        <v>0.011871894785710413</v>
      </c>
      <c r="K9" s="12">
        <f t="shared" si="2"/>
        <v>4.186290279303028</v>
      </c>
      <c r="L9" s="13">
        <f t="shared" si="3"/>
        <v>0.41198675951590663</v>
      </c>
      <c r="M9" s="12">
        <f t="shared" si="4"/>
        <v>1.7246961665629943</v>
      </c>
      <c r="N9" s="12">
        <f t="shared" si="5"/>
        <v>15.963887834885037</v>
      </c>
      <c r="Q9" s="13">
        <f t="shared" si="13"/>
        <v>1.0655137893348772</v>
      </c>
    </row>
    <row r="10" spans="1:17" ht="12.75">
      <c r="A10" s="10">
        <f t="shared" si="6"/>
        <v>2040</v>
      </c>
      <c r="B10" s="27">
        <f t="shared" si="0"/>
        <v>124.9254230000118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400.3166751483035</v>
      </c>
      <c r="F10" s="14">
        <f t="shared" si="14"/>
        <v>943.4939515677097</v>
      </c>
      <c r="G10" s="11">
        <f t="shared" si="10"/>
        <v>27.483593060002597</v>
      </c>
      <c r="H10" s="12">
        <f t="shared" si="1"/>
        <v>85.32986465039754</v>
      </c>
      <c r="I10" s="11">
        <f t="shared" si="11"/>
        <v>30943.2531706715</v>
      </c>
      <c r="J10" s="13">
        <f t="shared" si="12"/>
        <v>0.012837353402728676</v>
      </c>
      <c r="K10" s="12">
        <f t="shared" si="2"/>
        <v>4.446524506357121</v>
      </c>
      <c r="L10" s="13">
        <f t="shared" si="3"/>
        <v>0.3065568407738065</v>
      </c>
      <c r="M10" s="12">
        <f t="shared" si="4"/>
        <v>1.3631125050921484</v>
      </c>
      <c r="N10" s="12">
        <f t="shared" si="5"/>
        <v>16.982891128218775</v>
      </c>
      <c r="Q10" s="13">
        <f t="shared" si="13"/>
        <v>1.0638317748078236</v>
      </c>
    </row>
    <row r="11" spans="1:17" ht="12.75">
      <c r="A11" s="10">
        <f t="shared" si="6"/>
        <v>2050</v>
      </c>
      <c r="B11" s="27">
        <f t="shared" si="0"/>
        <v>159.31045632064374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514.5203114044057</v>
      </c>
      <c r="F11" s="14">
        <f t="shared" si="14"/>
        <v>1002.9608060416588</v>
      </c>
      <c r="G11" s="11">
        <f t="shared" si="10"/>
        <v>35.04830039054162</v>
      </c>
      <c r="H11" s="12">
        <f t="shared" si="1"/>
        <v>110.16739930681098</v>
      </c>
      <c r="I11" s="11">
        <f t="shared" si="11"/>
        <v>40378.1926863486</v>
      </c>
      <c r="J11" s="13">
        <f t="shared" si="12"/>
        <v>0.01405314797785399</v>
      </c>
      <c r="K11" s="12">
        <f t="shared" si="2"/>
        <v>4.702001020890272</v>
      </c>
      <c r="L11" s="13">
        <f t="shared" si="3"/>
        <v>0.2281070797897537</v>
      </c>
      <c r="M11" s="12">
        <f t="shared" si="4"/>
        <v>1.0725597220437206</v>
      </c>
      <c r="N11" s="12">
        <f t="shared" si="5"/>
        <v>18.053294508749858</v>
      </c>
      <c r="Q11" s="13">
        <f t="shared" si="13"/>
        <v>1.0630283367213313</v>
      </c>
    </row>
    <row r="12" spans="1:17" ht="12.75">
      <c r="A12" s="10">
        <f t="shared" si="6"/>
        <v>2060</v>
      </c>
      <c r="B12" s="27">
        <f t="shared" si="0"/>
        <v>203.09906088509754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658.5453203316677</v>
      </c>
      <c r="F12" s="14">
        <f t="shared" si="14"/>
        <v>1065.8162197639344</v>
      </c>
      <c r="G12" s="11">
        <f t="shared" si="10"/>
        <v>44.68179339472146</v>
      </c>
      <c r="H12" s="12">
        <f t="shared" si="1"/>
        <v>141.76243905545925</v>
      </c>
      <c r="I12" s="11">
        <f t="shared" si="11"/>
        <v>50407.80074676519</v>
      </c>
      <c r="J12" s="13">
        <f t="shared" si="12"/>
        <v>0.01562636046072339</v>
      </c>
      <c r="K12" s="12">
        <f t="shared" si="2"/>
        <v>4.954152692235417</v>
      </c>
      <c r="L12" s="13">
        <f t="shared" si="3"/>
        <v>0.16973309001641748</v>
      </c>
      <c r="M12" s="12">
        <f t="shared" si="4"/>
        <v>0.8408836448662711</v>
      </c>
      <c r="N12" s="12">
        <f t="shared" si="5"/>
        <v>19.184691955750818</v>
      </c>
      <c r="Q12" s="13">
        <f t="shared" si="13"/>
        <v>1.0626698604209115</v>
      </c>
    </row>
    <row r="13" spans="1:17" ht="12.75">
      <c r="A13" s="10">
        <f t="shared" si="6"/>
        <v>2070</v>
      </c>
      <c r="B13" s="27">
        <f t="shared" si="0"/>
        <v>259.02364005681477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841.1133433923551</v>
      </c>
      <c r="F13" s="14">
        <f t="shared" si="14"/>
        <v>1132.5261366653876</v>
      </c>
      <c r="G13" s="11">
        <f t="shared" si="10"/>
        <v>56.98520081249925</v>
      </c>
      <c r="H13" s="12">
        <f t="shared" si="1"/>
        <v>181.95158380811372</v>
      </c>
      <c r="I13" s="11">
        <f t="shared" si="11"/>
        <v>61065.962944404535</v>
      </c>
      <c r="J13" s="13">
        <f t="shared" si="12"/>
        <v>0.017736328360019656</v>
      </c>
      <c r="K13" s="12">
        <f t="shared" si="2"/>
        <v>5.2037406286540495</v>
      </c>
      <c r="L13" s="13">
        <f t="shared" si="3"/>
        <v>0.1262973594378343</v>
      </c>
      <c r="M13" s="12">
        <f t="shared" si="4"/>
        <v>0.6572187005983823</v>
      </c>
      <c r="N13" s="12">
        <f t="shared" si="5"/>
        <v>20.385470459976975</v>
      </c>
      <c r="Q13" s="13">
        <f t="shared" si="13"/>
        <v>1.0625904500836256</v>
      </c>
    </row>
    <row r="14" spans="1:17" ht="12.75">
      <c r="A14" s="10">
        <f t="shared" si="6"/>
        <v>2080</v>
      </c>
      <c r="B14" s="27">
        <f t="shared" si="0"/>
        <v>330.62746223491666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1073.4576369002907</v>
      </c>
      <c r="F14" s="14">
        <f t="shared" si="14"/>
        <v>1203.5277414813065</v>
      </c>
      <c r="G14" s="11">
        <f t="shared" si="10"/>
        <v>72.73804169168167</v>
      </c>
      <c r="H14" s="12">
        <f t="shared" si="1"/>
        <v>232.96752511022208</v>
      </c>
      <c r="I14" s="11">
        <f t="shared" si="11"/>
        <v>72391.22431105841</v>
      </c>
      <c r="J14" s="13">
        <f t="shared" si="12"/>
        <v>0.02070737098451837</v>
      </c>
      <c r="K14" s="12">
        <f t="shared" si="2"/>
        <v>5.450899066642448</v>
      </c>
      <c r="L14" s="13">
        <f t="shared" si="3"/>
        <v>0.09397709662521697</v>
      </c>
      <c r="M14" s="12">
        <f t="shared" si="4"/>
        <v>0.5122596682801623</v>
      </c>
      <c r="N14" s="12">
        <f t="shared" si="5"/>
        <v>21.663499346663517</v>
      </c>
      <c r="Q14" s="13">
        <f t="shared" si="13"/>
        <v>1.0626931269109392</v>
      </c>
    </row>
    <row r="15" spans="1:21" ht="12.75">
      <c r="A15" s="10">
        <f t="shared" si="6"/>
        <v>2090</v>
      </c>
      <c r="B15" s="27">
        <f t="shared" si="0"/>
        <v>422.5184370946274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1370.0991568365598</v>
      </c>
      <c r="F15" s="14">
        <f t="shared" si="14"/>
        <v>1279.251649492299</v>
      </c>
      <c r="G15" s="11">
        <f t="shared" si="10"/>
        <v>92.95405616081803</v>
      </c>
      <c r="H15" s="12">
        <f t="shared" si="1"/>
        <v>297.33764760032454</v>
      </c>
      <c r="I15" s="11">
        <f t="shared" si="11"/>
        <v>84426.50172587148</v>
      </c>
      <c r="J15" s="13">
        <f t="shared" si="12"/>
        <v>0.025191863810591728</v>
      </c>
      <c r="K15" s="12">
        <f t="shared" si="2"/>
        <v>5.694868353673195</v>
      </c>
      <c r="L15" s="13">
        <f t="shared" si="3"/>
        <v>0.0699277857384855</v>
      </c>
      <c r="M15" s="12">
        <f t="shared" si="4"/>
        <v>0.39822953404454087</v>
      </c>
      <c r="N15" s="12">
        <f t="shared" si="5"/>
        <v>23.02652969086138</v>
      </c>
      <c r="Q15" s="13">
        <f t="shared" si="13"/>
        <v>1.0629182904565135</v>
      </c>
      <c r="U15" s="29"/>
    </row>
    <row r="16" spans="1:17" ht="12.75">
      <c r="A16" s="15">
        <f t="shared" si="6"/>
        <v>2100</v>
      </c>
      <c r="B16" s="28">
        <f t="shared" si="0"/>
        <v>540.7049380740187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1749.8695372255856</v>
      </c>
      <c r="F16" s="14">
        <f t="shared" si="14"/>
        <v>1360.137049903661</v>
      </c>
      <c r="G16" s="16">
        <f t="shared" si="10"/>
        <v>118.95508637628413</v>
      </c>
      <c r="H16" s="18">
        <f t="shared" si="1"/>
        <v>377.23960927990646</v>
      </c>
      <c r="I16" s="16">
        <f t="shared" si="11"/>
        <v>97219.01822079447</v>
      </c>
      <c r="J16" s="19">
        <f t="shared" si="12"/>
        <v>0.03272482167953648</v>
      </c>
      <c r="K16" s="18">
        <f t="shared" si="2"/>
        <v>5.932880553941679</v>
      </c>
      <c r="L16" s="19">
        <f t="shared" si="3"/>
        <v>0.05203283985020906</v>
      </c>
      <c r="M16" s="18">
        <f t="shared" si="4"/>
        <v>0.308704623713667</v>
      </c>
      <c r="N16" s="18">
        <f t="shared" si="5"/>
        <v>24.482466898265894</v>
      </c>
      <c r="O16" s="2"/>
      <c r="P16" s="2"/>
      <c r="Q16" s="19">
        <f t="shared" si="13"/>
        <v>1.0632286856487252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15.115403811256613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60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5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5"/>
        <v>0.23544073768229562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6" ref="O25:O33">10+O24</f>
        <v>2020</v>
      </c>
      <c r="P25" s="20">
        <f t="shared" si="15"/>
        <v>0.19615526147622334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6"/>
        <v>2030</v>
      </c>
      <c r="P26" s="20">
        <f t="shared" si="15"/>
        <v>0.16318010378571504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6"/>
        <v>2040</v>
      </c>
      <c r="P27" s="20">
        <f t="shared" si="15"/>
        <v>0.13594423553176338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6"/>
        <v>2050</v>
      </c>
      <c r="P28" s="20">
        <f t="shared" si="15"/>
        <v>0.11332146630987007</v>
      </c>
      <c r="Q28" s="20"/>
    </row>
    <row r="29" spans="1:17" ht="12.75">
      <c r="A29" s="23" t="s">
        <v>37</v>
      </c>
      <c r="B29">
        <v>0.01</v>
      </c>
      <c r="O29" s="10">
        <f t="shared" si="16"/>
        <v>2060</v>
      </c>
      <c r="P29" s="20">
        <f t="shared" si="15"/>
        <v>0.0944597767815602</v>
      </c>
      <c r="Q29" s="20"/>
    </row>
    <row r="30" spans="1:17" ht="12.75">
      <c r="A30" s="23" t="s">
        <v>36</v>
      </c>
      <c r="B30">
        <v>0.018</v>
      </c>
      <c r="O30" s="10">
        <f t="shared" si="16"/>
        <v>2070</v>
      </c>
      <c r="P30" s="20">
        <f t="shared" si="15"/>
        <v>0.07870119675372327</v>
      </c>
      <c r="Q30" s="20"/>
    </row>
    <row r="31" spans="1:17" ht="12.75">
      <c r="A31" s="24" t="s">
        <v>40</v>
      </c>
      <c r="B31" s="26">
        <v>0.03</v>
      </c>
      <c r="O31" s="10">
        <f t="shared" si="16"/>
        <v>2080</v>
      </c>
      <c r="P31" s="20">
        <f t="shared" si="15"/>
        <v>0.06552238341070173</v>
      </c>
      <c r="Q31" s="20"/>
    </row>
    <row r="32" spans="1:17" ht="12.75">
      <c r="A32" t="s">
        <v>24</v>
      </c>
      <c r="B32">
        <v>140000</v>
      </c>
      <c r="O32" s="10">
        <f t="shared" si="16"/>
        <v>2090</v>
      </c>
      <c r="P32" s="20">
        <f t="shared" si="15"/>
        <v>0.05449828378898493</v>
      </c>
      <c r="Q32" s="20"/>
    </row>
    <row r="33" spans="1:17" ht="12.75">
      <c r="A33" s="23" t="s">
        <v>42</v>
      </c>
      <c r="B33">
        <v>1</v>
      </c>
      <c r="O33" s="15">
        <f t="shared" si="16"/>
        <v>2100</v>
      </c>
      <c r="P33" s="21">
        <f t="shared" si="15"/>
        <v>0.045278792876336585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37"/>
  <sheetViews>
    <sheetView workbookViewId="0" topLeftCell="A1">
      <selection activeCell="O17" sqref="O17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6384" width="8.8515625" style="0" customWidth="1"/>
  </cols>
  <sheetData>
    <row r="1" spans="1:19" ht="12.75">
      <c r="A1" s="1" t="s">
        <v>61</v>
      </c>
      <c r="B1" s="1"/>
      <c r="C1" s="1"/>
      <c r="D1" s="1"/>
      <c r="E1" s="1"/>
      <c r="F1" s="1"/>
      <c r="G1" s="1"/>
      <c r="S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</row>
    <row r="4" spans="1:17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</row>
    <row r="6" spans="1:14" ht="12.75">
      <c r="A6" s="10">
        <v>2000</v>
      </c>
      <c r="B6" s="27">
        <f aca="true" t="shared" si="0" ref="B6:B16">C6*($B$21*E6^$B$24+$B$22*D6^$B$24+(1-$B$21-$B$22)*F6^$B$24)^(1/$B$24)</f>
        <v>44.557901987430824</v>
      </c>
      <c r="C6" s="13">
        <f>B17</f>
        <v>0.8</v>
      </c>
      <c r="D6" s="11">
        <f>B19</f>
        <v>22.65</v>
      </c>
      <c r="E6">
        <f>B18</f>
        <v>130</v>
      </c>
      <c r="F6" s="11">
        <f>B20</f>
        <v>600</v>
      </c>
      <c r="G6" s="11">
        <f>0.22*B6</f>
        <v>9.802738437234781</v>
      </c>
      <c r="H6" s="12">
        <f aca="true" t="shared" si="1" ref="H6:H16">B6-G6-J6*F6</f>
        <v>28.755163550196045</v>
      </c>
      <c r="I6" s="11">
        <v>0</v>
      </c>
      <c r="J6" s="13">
        <f>B29</f>
        <v>0.01</v>
      </c>
      <c r="K6" s="12">
        <f aca="true" t="shared" si="2" ref="K6:K16">LN(H6)</f>
        <v>3.358817352862846</v>
      </c>
      <c r="L6" s="13">
        <f aca="true" t="shared" si="3" ref="L6:L16">(1/(1+$B$31))^(A6-$A$6)</f>
        <v>1</v>
      </c>
      <c r="M6" s="12">
        <f aca="true" t="shared" si="4" ref="M6:M16">K6*L6</f>
        <v>3.358817352862846</v>
      </c>
      <c r="N6" s="12">
        <f aca="true" t="shared" si="5" ref="N6:N16">F6*$B$30</f>
        <v>10.799999999999999</v>
      </c>
    </row>
    <row r="7" spans="1:17" ht="12.75">
      <c r="A7" s="10">
        <f aca="true" t="shared" si="6" ref="A7:A16">10+A6</f>
        <v>2010</v>
      </c>
      <c r="B7" s="27">
        <f t="shared" si="0"/>
        <v>58.95678466305932</v>
      </c>
      <c r="C7" s="13">
        <f aca="true" t="shared" si="7" ref="C7:C16">C6*(1+$B$27)^10</f>
        <v>0.8836977003289639</v>
      </c>
      <c r="D7" s="11">
        <f aca="true" t="shared" si="8" ref="D7:D16">D6*(1+$B$25)^10</f>
        <v>25.019691140563786</v>
      </c>
      <c r="E7" s="11">
        <f aca="true" t="shared" si="9" ref="E7:E16">E6*(1-$B$26)^10+10*G6</f>
        <v>175.86318647333707</v>
      </c>
      <c r="F7" s="14">
        <v>751.2315209977033</v>
      </c>
      <c r="G7" s="11">
        <f aca="true" t="shared" si="10" ref="G7:G16">B$28*B7</f>
        <v>12.97049262587305</v>
      </c>
      <c r="H7" s="12">
        <f t="shared" si="1"/>
        <v>38.137604504374444</v>
      </c>
      <c r="I7" s="11">
        <f aca="true" t="shared" si="11" ref="I7:I16">F6*10+I6</f>
        <v>6000</v>
      </c>
      <c r="J7" s="13">
        <f aca="true" t="shared" si="12" ref="J7:J16">$B$29*($B$32/($B$32-I7))^$B$33</f>
        <v>0.01044776119402985</v>
      </c>
      <c r="K7" s="12">
        <f t="shared" si="2"/>
        <v>3.6412007902389534</v>
      </c>
      <c r="L7" s="13">
        <f t="shared" si="3"/>
        <v>0.744093914896725</v>
      </c>
      <c r="M7" s="12">
        <f t="shared" si="4"/>
        <v>2.709395350933952</v>
      </c>
      <c r="N7" s="12">
        <f t="shared" si="5"/>
        <v>13.52216737795866</v>
      </c>
      <c r="Q7" s="13">
        <f aca="true" t="shared" si="13" ref="Q7:Q16">F7/F6</f>
        <v>1.2520525349961722</v>
      </c>
    </row>
    <row r="8" spans="1:17" ht="12.75">
      <c r="A8" s="10">
        <f t="shared" si="6"/>
        <v>2020</v>
      </c>
      <c r="B8" s="27">
        <f t="shared" si="0"/>
        <v>77.22503075858454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235.00071225248462</v>
      </c>
      <c r="F8" s="14">
        <v>895.8888600656006</v>
      </c>
      <c r="G8" s="11">
        <f t="shared" si="10"/>
        <v>16.9895067668886</v>
      </c>
      <c r="H8" s="12">
        <f t="shared" si="1"/>
        <v>50.31958311433732</v>
      </c>
      <c r="I8" s="11">
        <f t="shared" si="11"/>
        <v>13512.315209977034</v>
      </c>
      <c r="J8" s="13">
        <f t="shared" si="12"/>
        <v>0.01106827121015048</v>
      </c>
      <c r="K8" s="12">
        <f t="shared" si="2"/>
        <v>3.918394327666637</v>
      </c>
      <c r="L8" s="13">
        <f t="shared" si="3"/>
        <v>0.5536757541863347</v>
      </c>
      <c r="M8" s="12">
        <f t="shared" si="4"/>
        <v>2.1695199345702814</v>
      </c>
      <c r="N8" s="12">
        <f t="shared" si="5"/>
        <v>16.12599948118081</v>
      </c>
      <c r="Q8" s="13">
        <f t="shared" si="13"/>
        <v>1.1925602627479999</v>
      </c>
    </row>
    <row r="9" spans="1:17" ht="12.75">
      <c r="A9" s="10">
        <f t="shared" si="6"/>
        <v>2030</v>
      </c>
      <c r="B9" s="27">
        <f t="shared" si="0"/>
        <v>100.25271781661232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310.59867484177767</v>
      </c>
      <c r="F9" s="14">
        <v>1024.0321205926525</v>
      </c>
      <c r="G9" s="11">
        <f t="shared" si="10"/>
        <v>22.05559791965471</v>
      </c>
      <c r="H9" s="12">
        <f t="shared" si="1"/>
        <v>65.99887559162354</v>
      </c>
      <c r="I9" s="11">
        <f t="shared" si="11"/>
        <v>22471.20381063304</v>
      </c>
      <c r="J9" s="13">
        <f t="shared" si="12"/>
        <v>0.01191197430240216</v>
      </c>
      <c r="K9" s="12">
        <f t="shared" si="2"/>
        <v>4.1896377053907505</v>
      </c>
      <c r="L9" s="13">
        <f t="shared" si="3"/>
        <v>0.41198675951590663</v>
      </c>
      <c r="M9" s="12">
        <f t="shared" si="4"/>
        <v>1.726075261789594</v>
      </c>
      <c r="N9" s="12">
        <f t="shared" si="5"/>
        <v>18.432578170667743</v>
      </c>
      <c r="Q9" s="13">
        <f t="shared" si="13"/>
        <v>1.1430347738866502</v>
      </c>
    </row>
    <row r="10" spans="1:17" ht="12.75">
      <c r="A10" s="10">
        <f t="shared" si="6"/>
        <v>2040</v>
      </c>
      <c r="B10" s="27">
        <f t="shared" si="0"/>
        <v>129.81386806454998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406.5228791028095</v>
      </c>
      <c r="F10" s="14">
        <v>1165.5331785041715</v>
      </c>
      <c r="G10" s="11">
        <f t="shared" si="10"/>
        <v>28.559050974200996</v>
      </c>
      <c r="H10" s="12">
        <f t="shared" si="1"/>
        <v>86.04585405720219</v>
      </c>
      <c r="I10" s="11">
        <f t="shared" si="11"/>
        <v>32711.525016559564</v>
      </c>
      <c r="J10" s="13">
        <f t="shared" si="12"/>
        <v>0.013048931865385211</v>
      </c>
      <c r="K10" s="12">
        <f t="shared" si="2"/>
        <v>4.454880340871632</v>
      </c>
      <c r="L10" s="13">
        <f t="shared" si="3"/>
        <v>0.3065568407738065</v>
      </c>
      <c r="M10" s="12">
        <f t="shared" si="4"/>
        <v>1.365674043322946</v>
      </c>
      <c r="N10" s="12">
        <f t="shared" si="5"/>
        <v>20.979597213075085</v>
      </c>
      <c r="Q10" s="13">
        <f t="shared" si="13"/>
        <v>1.1381802924596018</v>
      </c>
    </row>
    <row r="11" spans="1:17" ht="12.75">
      <c r="A11" s="10">
        <f t="shared" si="6"/>
        <v>2050</v>
      </c>
      <c r="B11" s="27">
        <f t="shared" si="0"/>
        <v>166.16474223109944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528.9907741063996</v>
      </c>
      <c r="F11" s="14">
        <v>1239.5198464730713</v>
      </c>
      <c r="G11" s="11">
        <f t="shared" si="10"/>
        <v>36.55624329084188</v>
      </c>
      <c r="H11" s="12">
        <f t="shared" si="1"/>
        <v>111.46282551548869</v>
      </c>
      <c r="I11" s="11">
        <f t="shared" si="11"/>
        <v>44366.85680160128</v>
      </c>
      <c r="J11" s="13">
        <f t="shared" si="12"/>
        <v>0.014639276229743764</v>
      </c>
      <c r="K11" s="12">
        <f t="shared" si="2"/>
        <v>4.713691131860355</v>
      </c>
      <c r="L11" s="13">
        <f t="shared" si="3"/>
        <v>0.2281070797897537</v>
      </c>
      <c r="M11" s="12">
        <f t="shared" si="4"/>
        <v>1.0752263191195246</v>
      </c>
      <c r="N11" s="12">
        <f t="shared" si="5"/>
        <v>22.31135723651528</v>
      </c>
      <c r="Q11" s="13">
        <f t="shared" si="13"/>
        <v>1.0634788175346954</v>
      </c>
    </row>
    <row r="12" spans="1:17" ht="12.75">
      <c r="A12" s="10">
        <f t="shared" si="6"/>
        <v>2060</v>
      </c>
      <c r="B12" s="27">
        <f t="shared" si="0"/>
        <v>211.00585456330205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682.2887498822251</v>
      </c>
      <c r="F12" s="14">
        <v>1265.4400966902406</v>
      </c>
      <c r="G12" s="11">
        <f t="shared" si="10"/>
        <v>46.42128800392645</v>
      </c>
      <c r="H12" s="12">
        <f t="shared" si="1"/>
        <v>143.30081020240544</v>
      </c>
      <c r="I12" s="11">
        <f t="shared" si="11"/>
        <v>56762.05526633199</v>
      </c>
      <c r="J12" s="13">
        <f t="shared" si="12"/>
        <v>0.016819252379182418</v>
      </c>
      <c r="K12" s="12">
        <f t="shared" si="2"/>
        <v>4.964945988707923</v>
      </c>
      <c r="L12" s="13">
        <f t="shared" si="3"/>
        <v>0.16973309001641748</v>
      </c>
      <c r="M12" s="12">
        <f t="shared" si="4"/>
        <v>0.8427156244280127</v>
      </c>
      <c r="N12" s="12">
        <f t="shared" si="5"/>
        <v>22.77792174042433</v>
      </c>
      <c r="Q12" s="13">
        <f t="shared" si="13"/>
        <v>1.0209115249674483</v>
      </c>
    </row>
    <row r="13" spans="1:17" ht="12.75">
      <c r="A13" s="10">
        <f t="shared" si="6"/>
        <v>2070</v>
      </c>
      <c r="B13" s="27">
        <f t="shared" si="0"/>
        <v>267.0278695152166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872.7243578205279</v>
      </c>
      <c r="F13" s="14">
        <v>1274.500610494633</v>
      </c>
      <c r="G13" s="11">
        <f t="shared" si="10"/>
        <v>58.74613129334765</v>
      </c>
      <c r="H13" s="12">
        <f t="shared" si="1"/>
        <v>183.00246263621003</v>
      </c>
      <c r="I13" s="11">
        <f t="shared" si="11"/>
        <v>69416.45623323439</v>
      </c>
      <c r="J13" s="13">
        <f t="shared" si="12"/>
        <v>0.019834651609816064</v>
      </c>
      <c r="K13" s="12">
        <f t="shared" si="2"/>
        <v>5.209499609779346</v>
      </c>
      <c r="L13" s="13">
        <f t="shared" si="3"/>
        <v>0.1262973594378343</v>
      </c>
      <c r="M13" s="12">
        <f t="shared" si="4"/>
        <v>0.6579460447075596</v>
      </c>
      <c r="N13" s="12">
        <f t="shared" si="5"/>
        <v>22.941010988903393</v>
      </c>
      <c r="Q13" s="13">
        <f t="shared" si="13"/>
        <v>1.007159970533643</v>
      </c>
    </row>
    <row r="14" spans="1:17" ht="12.75">
      <c r="A14" s="10">
        <f t="shared" si="6"/>
        <v>2080</v>
      </c>
      <c r="B14" s="27">
        <f t="shared" si="0"/>
        <v>337.93361577141366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1109.9936237337192</v>
      </c>
      <c r="F14" s="14">
        <v>1288.6406852964128</v>
      </c>
      <c r="G14" s="11">
        <f t="shared" si="10"/>
        <v>74.34539546971101</v>
      </c>
      <c r="H14" s="12">
        <f t="shared" si="1"/>
        <v>232.39626711015597</v>
      </c>
      <c r="I14" s="11">
        <f t="shared" si="11"/>
        <v>82161.46233818072</v>
      </c>
      <c r="J14" s="13">
        <f t="shared" si="12"/>
        <v>0.02420531459812782</v>
      </c>
      <c r="K14" s="12">
        <f t="shared" si="2"/>
        <v>5.448443962500029</v>
      </c>
      <c r="L14" s="13">
        <f t="shared" si="3"/>
        <v>0.09397709662521697</v>
      </c>
      <c r="M14" s="12">
        <f t="shared" si="4"/>
        <v>0.5120289447209453</v>
      </c>
      <c r="N14" s="12">
        <f t="shared" si="5"/>
        <v>23.19553233533543</v>
      </c>
      <c r="Q14" s="13">
        <f t="shared" si="13"/>
        <v>1.0110946002578154</v>
      </c>
    </row>
    <row r="15" spans="1:21" ht="12.75">
      <c r="A15" s="10">
        <f t="shared" si="6"/>
        <v>2090</v>
      </c>
      <c r="B15" s="27">
        <f t="shared" si="0"/>
        <v>428.6944973000565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1408.048139545554</v>
      </c>
      <c r="F15" s="14">
        <v>1321.1824477008536</v>
      </c>
      <c r="G15" s="11">
        <f t="shared" si="10"/>
        <v>94.31278940601244</v>
      </c>
      <c r="H15" s="12">
        <f t="shared" si="1"/>
        <v>293.2344832019316</v>
      </c>
      <c r="I15" s="11">
        <f t="shared" si="11"/>
        <v>95047.86919114484</v>
      </c>
      <c r="J15" s="13">
        <f t="shared" si="12"/>
        <v>0.031144241102898127</v>
      </c>
      <c r="K15" s="12">
        <f t="shared" si="2"/>
        <v>5.680972572926238</v>
      </c>
      <c r="L15" s="13">
        <f t="shared" si="3"/>
        <v>0.0699277857384855</v>
      </c>
      <c r="M15" s="12">
        <f t="shared" si="4"/>
        <v>0.39725783286579863</v>
      </c>
      <c r="N15" s="12">
        <f t="shared" si="5"/>
        <v>23.781284058615363</v>
      </c>
      <c r="Q15" s="13">
        <f t="shared" si="13"/>
        <v>1.0252527820794013</v>
      </c>
      <c r="U15" s="29"/>
    </row>
    <row r="16" spans="1:17" ht="12.75">
      <c r="A16" s="15">
        <f t="shared" si="6"/>
        <v>2100</v>
      </c>
      <c r="B16" s="28">
        <f t="shared" si="0"/>
        <v>546.2084194593427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1786.1783274319232</v>
      </c>
      <c r="F16" s="17">
        <v>1384.9723281348324</v>
      </c>
      <c r="G16" s="16">
        <f t="shared" si="10"/>
        <v>120.16585228105541</v>
      </c>
      <c r="H16" s="18">
        <f t="shared" si="1"/>
        <v>364.95427019977615</v>
      </c>
      <c r="I16" s="16">
        <f t="shared" si="11"/>
        <v>108259.69366815337</v>
      </c>
      <c r="J16" s="19">
        <f t="shared" si="12"/>
        <v>0.0441079548937847</v>
      </c>
      <c r="K16" s="18">
        <f t="shared" si="2"/>
        <v>5.8997720586095035</v>
      </c>
      <c r="L16" s="19">
        <f t="shared" si="3"/>
        <v>0.05203283985020906</v>
      </c>
      <c r="M16" s="18">
        <f t="shared" si="4"/>
        <v>0.3069818946783665</v>
      </c>
      <c r="N16" s="18">
        <f t="shared" si="5"/>
        <v>24.92950190642698</v>
      </c>
      <c r="O16" s="2"/>
      <c r="P16" s="2"/>
      <c r="Q16" s="19">
        <f t="shared" si="13"/>
        <v>1.0482824159108284</v>
      </c>
    </row>
    <row r="17" spans="1:13" ht="12" customHeight="1">
      <c r="A17" s="22" t="s">
        <v>35</v>
      </c>
      <c r="B17">
        <v>0.8</v>
      </c>
      <c r="C17" s="22"/>
      <c r="I17" s="11"/>
      <c r="M17" s="30">
        <f>SUM(M6:M16)</f>
        <v>15.121638603999829</v>
      </c>
    </row>
    <row r="18" spans="1:3" ht="12.75">
      <c r="A18" t="s">
        <v>25</v>
      </c>
      <c r="B18">
        <v>130</v>
      </c>
      <c r="C18" s="23"/>
    </row>
    <row r="19" spans="1:17" ht="12.75">
      <c r="A19" t="s">
        <v>26</v>
      </c>
      <c r="B19">
        <v>22.65</v>
      </c>
      <c r="C19" s="23"/>
      <c r="O19" s="2"/>
      <c r="P19" s="2"/>
      <c r="Q19" s="2"/>
    </row>
    <row r="20" spans="1:17" ht="12.75">
      <c r="A20" t="s">
        <v>27</v>
      </c>
      <c r="B20">
        <v>600</v>
      </c>
      <c r="C20" s="23"/>
      <c r="O20" s="3"/>
      <c r="P20" s="4" t="s">
        <v>5</v>
      </c>
      <c r="Q20" s="6" t="s">
        <v>5</v>
      </c>
    </row>
    <row r="21" spans="1:17" ht="12.75">
      <c r="A21" s="23" t="s">
        <v>31</v>
      </c>
      <c r="B21">
        <v>0.25</v>
      </c>
      <c r="C21" s="23"/>
      <c r="O21" s="5" t="s">
        <v>7</v>
      </c>
      <c r="P21" s="4" t="s">
        <v>22</v>
      </c>
      <c r="Q21" s="4" t="s">
        <v>22</v>
      </c>
    </row>
    <row r="22" spans="1:17" ht="12.75">
      <c r="A22" s="23" t="s">
        <v>32</v>
      </c>
      <c r="B22">
        <v>0.65</v>
      </c>
      <c r="C22" s="23"/>
      <c r="O22" s="7" t="s">
        <v>19</v>
      </c>
      <c r="P22" s="8" t="s">
        <v>60</v>
      </c>
      <c r="Q22" s="8" t="s">
        <v>23</v>
      </c>
    </row>
    <row r="23" spans="1:17" ht="12.75">
      <c r="A23" s="23" t="s">
        <v>38</v>
      </c>
      <c r="B23">
        <v>1.25</v>
      </c>
      <c r="C23" s="23"/>
      <c r="O23" s="10">
        <v>2000</v>
      </c>
      <c r="P23" s="20">
        <f aca="true" t="shared" si="14" ref="P23:P33">N6/B6</f>
        <v>0.24238125042436987</v>
      </c>
      <c r="Q23" s="20"/>
    </row>
    <row r="24" spans="1:17" ht="12.75">
      <c r="A24" s="23" t="s">
        <v>39</v>
      </c>
      <c r="B24">
        <f>(B23-1)/B23</f>
        <v>0.2</v>
      </c>
      <c r="C24" s="23"/>
      <c r="O24" s="10">
        <f>10+O23</f>
        <v>2010</v>
      </c>
      <c r="P24" s="20">
        <f t="shared" si="14"/>
        <v>0.22935727338657386</v>
      </c>
      <c r="Q24" s="20"/>
    </row>
    <row r="25" spans="1:17" ht="12.75">
      <c r="A25" s="24" t="s">
        <v>34</v>
      </c>
      <c r="B25" s="26">
        <v>0.01</v>
      </c>
      <c r="C25" s="23"/>
      <c r="O25" s="10">
        <f aca="true" t="shared" si="15" ref="O25:O33">10+O24</f>
        <v>2020</v>
      </c>
      <c r="P25" s="20">
        <f t="shared" si="14"/>
        <v>0.2088182979375272</v>
      </c>
      <c r="Q25" s="20"/>
    </row>
    <row r="26" spans="1:17" ht="12.75">
      <c r="A26" s="23" t="s">
        <v>33</v>
      </c>
      <c r="B26">
        <v>0.05</v>
      </c>
      <c r="C26" s="23"/>
      <c r="O26" s="10">
        <f t="shared" si="15"/>
        <v>2030</v>
      </c>
      <c r="P26" s="20">
        <f t="shared" si="14"/>
        <v>0.18386113186862035</v>
      </c>
      <c r="Q26" s="20"/>
    </row>
    <row r="27" spans="1:17" ht="12.75">
      <c r="A27" s="24" t="s">
        <v>41</v>
      </c>
      <c r="B27" s="25">
        <v>0.01</v>
      </c>
      <c r="C27" s="23"/>
      <c r="O27" s="10">
        <f t="shared" si="15"/>
        <v>2040</v>
      </c>
      <c r="P27" s="20">
        <f t="shared" si="14"/>
        <v>0.1616129118242049</v>
      </c>
      <c r="Q27" s="20"/>
    </row>
    <row r="28" spans="1:17" ht="12.75">
      <c r="A28" s="23" t="s">
        <v>45</v>
      </c>
      <c r="B28">
        <v>0.22</v>
      </c>
      <c r="C28" s="23"/>
      <c r="O28" s="10">
        <f t="shared" si="15"/>
        <v>2050</v>
      </c>
      <c r="P28" s="20">
        <f t="shared" si="14"/>
        <v>0.13427251134590862</v>
      </c>
      <c r="Q28" s="20"/>
    </row>
    <row r="29" spans="1:17" ht="12.75">
      <c r="A29" s="23" t="s">
        <v>37</v>
      </c>
      <c r="B29">
        <v>0.01</v>
      </c>
      <c r="O29" s="10">
        <f t="shared" si="15"/>
        <v>2060</v>
      </c>
      <c r="P29" s="20">
        <f t="shared" si="14"/>
        <v>0.10794924049650442</v>
      </c>
      <c r="Q29" s="20"/>
    </row>
    <row r="30" spans="1:17" ht="12.75">
      <c r="A30" s="23" t="s">
        <v>36</v>
      </c>
      <c r="B30">
        <v>0.018</v>
      </c>
      <c r="O30" s="10">
        <f t="shared" si="15"/>
        <v>2070</v>
      </c>
      <c r="P30" s="20">
        <f t="shared" si="14"/>
        <v>0.08591242191518178</v>
      </c>
      <c r="Q30" s="20"/>
    </row>
    <row r="31" spans="1:17" ht="12.75">
      <c r="A31" s="24" t="s">
        <v>40</v>
      </c>
      <c r="B31" s="26">
        <v>0.03</v>
      </c>
      <c r="O31" s="10">
        <f t="shared" si="15"/>
        <v>2080</v>
      </c>
      <c r="P31" s="20">
        <f t="shared" si="14"/>
        <v>0.06863931628224118</v>
      </c>
      <c r="Q31" s="20"/>
    </row>
    <row r="32" spans="1:17" ht="12.75">
      <c r="A32" t="s">
        <v>24</v>
      </c>
      <c r="B32">
        <v>140000</v>
      </c>
      <c r="O32" s="10">
        <f t="shared" si="15"/>
        <v>2090</v>
      </c>
      <c r="P32" s="20">
        <f t="shared" si="14"/>
        <v>0.055473732945935404</v>
      </c>
      <c r="Q32" s="20"/>
    </row>
    <row r="33" spans="1:17" ht="12.75">
      <c r="A33" s="23" t="s">
        <v>42</v>
      </c>
      <c r="B33">
        <v>1</v>
      </c>
      <c r="O33" s="15">
        <f t="shared" si="15"/>
        <v>2100</v>
      </c>
      <c r="P33" s="21">
        <f t="shared" si="14"/>
        <v>0.04564100628676344</v>
      </c>
      <c r="Q33" s="31"/>
    </row>
    <row r="34" spans="1:2" ht="12.75">
      <c r="A34" t="s">
        <v>28</v>
      </c>
      <c r="B34">
        <v>10</v>
      </c>
    </row>
    <row r="35" spans="1:3" ht="12.75">
      <c r="A35" t="s">
        <v>29</v>
      </c>
      <c r="B35">
        <v>807</v>
      </c>
      <c r="C35" s="23"/>
    </row>
    <row r="36" spans="1:3" ht="12.75">
      <c r="A36" s="23" t="s">
        <v>44</v>
      </c>
      <c r="B36">
        <v>2.181</v>
      </c>
      <c r="C36" s="23"/>
    </row>
    <row r="37" spans="1:2" ht="12.75">
      <c r="A37" s="23" t="s">
        <v>43</v>
      </c>
      <c r="B37">
        <v>120</v>
      </c>
    </row>
  </sheetData>
  <printOptions/>
  <pageMargins left="0.5" right="0.5" top="1" bottom="1" header="0.5" footer="0.5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48"/>
  <sheetViews>
    <sheetView tabSelected="1" workbookViewId="0" topLeftCell="A1">
      <selection activeCell="J51" sqref="J51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8.28125" style="0" customWidth="1"/>
    <col min="4" max="4" width="6.28125" style="0" customWidth="1"/>
    <col min="5" max="5" width="6.8515625" style="0" customWidth="1"/>
    <col min="6" max="6" width="7.140625" style="0" customWidth="1"/>
    <col min="7" max="7" width="4.421875" style="0" customWidth="1"/>
    <col min="8" max="8" width="7.8515625" style="0" customWidth="1"/>
    <col min="9" max="9" width="7.421875" style="0" customWidth="1"/>
    <col min="10" max="10" width="6.8515625" style="0" customWidth="1"/>
    <col min="11" max="11" width="7.28125" style="0" customWidth="1"/>
    <col min="12" max="12" width="8.140625" style="0" customWidth="1"/>
    <col min="13" max="13" width="9.00390625" style="0" customWidth="1"/>
    <col min="14" max="14" width="7.8515625" style="0" customWidth="1"/>
    <col min="15" max="16" width="7.421875" style="0" customWidth="1"/>
    <col min="17" max="17" width="8.8515625" style="0" customWidth="1"/>
    <col min="18" max="18" width="8.140625" style="0" customWidth="1"/>
    <col min="19" max="19" width="8.421875" style="0" customWidth="1"/>
    <col min="20" max="20" width="8.00390625" style="0" customWidth="1"/>
    <col min="21" max="21" width="8.421875" style="0" customWidth="1"/>
    <col min="22" max="16384" width="8.8515625" style="0" customWidth="1"/>
  </cols>
  <sheetData>
    <row r="1" spans="1:19" ht="12.75">
      <c r="A1" s="1" t="s">
        <v>72</v>
      </c>
      <c r="B1" s="1"/>
      <c r="C1" s="1"/>
      <c r="D1" s="1"/>
      <c r="E1" s="1"/>
      <c r="F1" s="1"/>
      <c r="G1" s="1"/>
      <c r="S1" s="1"/>
    </row>
    <row r="2" spans="1:2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3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5</v>
      </c>
      <c r="P3" s="4" t="s">
        <v>6</v>
      </c>
      <c r="Q3" s="4" t="s">
        <v>1</v>
      </c>
      <c r="R3" s="4" t="s">
        <v>62</v>
      </c>
      <c r="S3" s="32" t="s">
        <v>74</v>
      </c>
      <c r="T3" s="4" t="s">
        <v>75</v>
      </c>
      <c r="U3" s="4" t="s">
        <v>63</v>
      </c>
    </row>
    <row r="4" spans="1:21" ht="12.75">
      <c r="A4" s="5" t="s">
        <v>7</v>
      </c>
      <c r="B4" s="4" t="s">
        <v>30</v>
      </c>
      <c r="C4" s="4" t="s">
        <v>11</v>
      </c>
      <c r="D4" s="4" t="s">
        <v>8</v>
      </c>
      <c r="E4" s="4" t="s">
        <v>9</v>
      </c>
      <c r="F4" s="4" t="s">
        <v>1</v>
      </c>
      <c r="G4" s="4" t="s">
        <v>10</v>
      </c>
      <c r="H4" s="4" t="s">
        <v>13</v>
      </c>
      <c r="I4" s="4" t="s">
        <v>1</v>
      </c>
      <c r="J4" s="4" t="s">
        <v>12</v>
      </c>
      <c r="K4" s="4" t="s">
        <v>13</v>
      </c>
      <c r="L4" s="4" t="s">
        <v>14</v>
      </c>
      <c r="M4" s="6" t="s">
        <v>13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64</v>
      </c>
      <c r="S4" s="4" t="s">
        <v>73</v>
      </c>
      <c r="T4" s="4" t="s">
        <v>73</v>
      </c>
      <c r="U4" s="4" t="s">
        <v>65</v>
      </c>
    </row>
    <row r="5" spans="1:21" ht="12.75">
      <c r="A5" s="7" t="s">
        <v>19</v>
      </c>
      <c r="B5" s="8" t="s">
        <v>50</v>
      </c>
      <c r="C5" s="8" t="s">
        <v>51</v>
      </c>
      <c r="D5" s="8" t="s">
        <v>52</v>
      </c>
      <c r="E5" s="8" t="s">
        <v>53</v>
      </c>
      <c r="F5" s="8" t="s">
        <v>49</v>
      </c>
      <c r="G5" s="8" t="s">
        <v>48</v>
      </c>
      <c r="H5" s="8" t="s">
        <v>47</v>
      </c>
      <c r="I5" s="8" t="s">
        <v>54</v>
      </c>
      <c r="J5" s="8" t="s">
        <v>55</v>
      </c>
      <c r="K5" s="8" t="s">
        <v>46</v>
      </c>
      <c r="L5" s="8" t="s">
        <v>56</v>
      </c>
      <c r="M5" s="9" t="s">
        <v>20</v>
      </c>
      <c r="N5" s="8" t="s">
        <v>58</v>
      </c>
      <c r="O5" s="8" t="s">
        <v>59</v>
      </c>
      <c r="P5" s="8" t="s">
        <v>57</v>
      </c>
      <c r="Q5" s="2" t="s">
        <v>21</v>
      </c>
      <c r="R5" s="9" t="s">
        <v>66</v>
      </c>
      <c r="S5" s="9" t="s">
        <v>76</v>
      </c>
      <c r="T5" s="8" t="s">
        <v>77</v>
      </c>
      <c r="U5" s="9" t="s">
        <v>67</v>
      </c>
    </row>
    <row r="6" spans="1:21" ht="12.75">
      <c r="A6" s="10">
        <v>2000</v>
      </c>
      <c r="B6" s="27">
        <f>(C6*($B$26*E6^$B$29+$B$27*D6^$B$29+(1-$B$26-$B$27)*F6^$B$29)^(1/$B$29))*(1-U6)</f>
        <v>44.32106292501981</v>
      </c>
      <c r="C6" s="13">
        <f>B22</f>
        <v>0.8</v>
      </c>
      <c r="D6" s="11">
        <f>B24</f>
        <v>22.65</v>
      </c>
      <c r="E6">
        <f>B23</f>
        <v>130</v>
      </c>
      <c r="F6" s="11">
        <f>B25</f>
        <v>600</v>
      </c>
      <c r="G6" s="11">
        <f>0.22*B6</f>
        <v>9.750633843504358</v>
      </c>
      <c r="H6" s="12">
        <f aca="true" t="shared" si="0" ref="H6:H16">B6-G6-J6*F6</f>
        <v>28.57042908151545</v>
      </c>
      <c r="I6" s="11">
        <v>0</v>
      </c>
      <c r="J6" s="13">
        <f>B34</f>
        <v>0.01</v>
      </c>
      <c r="K6" s="12">
        <f aca="true" t="shared" si="1" ref="K6:K16">LN(H6)</f>
        <v>3.3523722347338745</v>
      </c>
      <c r="L6" s="13">
        <f aca="true" t="shared" si="2" ref="L6:L16">(1/(1+$B$36))^(A6-$A$6)</f>
        <v>1</v>
      </c>
      <c r="M6" s="12">
        <f aca="true" t="shared" si="3" ref="M6:M16">K6*L6</f>
        <v>3.3523722347338745</v>
      </c>
      <c r="N6" s="12">
        <f aca="true" t="shared" si="4" ref="N6:N16">F6*$B$35</f>
        <v>10.799999999999999</v>
      </c>
      <c r="O6" s="27">
        <v>806.86</v>
      </c>
      <c r="P6" s="27">
        <f>O6/2.181</f>
        <v>369.94956441999085</v>
      </c>
      <c r="R6" s="12">
        <f>4.1*(LN(O6/596.4)/LN(2))</f>
        <v>1.7877562612579485</v>
      </c>
      <c r="S6" s="12">
        <v>0.76</v>
      </c>
      <c r="T6" s="12">
        <v>0.1</v>
      </c>
      <c r="U6" s="20">
        <f>S6*$B$47+$B$48*S6^2.5</f>
        <v>0.005315310008936727</v>
      </c>
    </row>
    <row r="7" spans="1:21" ht="12.75">
      <c r="A7" s="10">
        <f aca="true" t="shared" si="5" ref="A7:A21">10+A6</f>
        <v>2010</v>
      </c>
      <c r="B7" s="27">
        <f aca="true" t="shared" si="6" ref="B7:B21">(C7*($B$26*E7^$B$29+$B$27*D7^$B$29+(1-$B$26-$B$27)*F7^$B$29)^(1/$B$29))*(1-U7)</f>
        <v>56.39401199696188</v>
      </c>
      <c r="C7" s="13">
        <f aca="true" t="shared" si="7" ref="C7:C21">C6*(1+$B$32)^10</f>
        <v>0.8836977003289639</v>
      </c>
      <c r="D7" s="11">
        <f aca="true" t="shared" si="8" ref="D7:D21">D6*(1+$B$30)^10</f>
        <v>25.019691140563786</v>
      </c>
      <c r="E7" s="11">
        <f aca="true" t="shared" si="9" ref="E7:E16">E6*(1-$B$31)^10+10*G6</f>
        <v>175.34214053603284</v>
      </c>
      <c r="F7" s="11">
        <v>600</v>
      </c>
      <c r="G7" s="11">
        <f aca="true" t="shared" si="10" ref="G7:G16">B$33*B7</f>
        <v>12.406682639331613</v>
      </c>
      <c r="H7" s="12">
        <f t="shared" si="0"/>
        <v>37.71867264121236</v>
      </c>
      <c r="I7" s="11">
        <f aca="true" t="shared" si="11" ref="I7:I16">F6*10+I6</f>
        <v>6000</v>
      </c>
      <c r="J7" s="13">
        <f aca="true" t="shared" si="12" ref="J7:J21">$B$34*($B$37/($B$37-I7))^$B$38</f>
        <v>0.01044776119402985</v>
      </c>
      <c r="K7" s="12">
        <f t="shared" si="1"/>
        <v>3.6301552673584983</v>
      </c>
      <c r="L7" s="13">
        <f t="shared" si="2"/>
        <v>0.744093914896725</v>
      </c>
      <c r="M7" s="12">
        <f t="shared" si="3"/>
        <v>2.7011764445717525</v>
      </c>
      <c r="N7" s="12">
        <f t="shared" si="4"/>
        <v>10.799999999999999</v>
      </c>
      <c r="O7" s="27">
        <f>10*N7+(1-(1/$B$42))^10*O6</f>
        <v>850.0878812398963</v>
      </c>
      <c r="P7" s="27">
        <f aca="true" t="shared" si="13" ref="P7:P21">O7/2.181</f>
        <v>389.7697759009153</v>
      </c>
      <c r="Q7" s="13">
        <f aca="true" t="shared" si="14" ref="Q7:Q16">F7/F6</f>
        <v>1</v>
      </c>
      <c r="R7" s="12">
        <f aca="true" t="shared" si="15" ref="R7:R16">4.1*(LN(O7/596.4)/LN(2))</f>
        <v>2.096460116441869</v>
      </c>
      <c r="S7" s="12">
        <f>S6+$B$44*(1.2*R7-$B$43*S6-$B$45*(S6-T6))</f>
        <v>1.020747983579035</v>
      </c>
      <c r="T7" s="12">
        <f>T6+$B$46*(S6-T6)</f>
        <v>0.11320000000000001</v>
      </c>
      <c r="U7" s="20">
        <f aca="true" t="shared" si="16" ref="U7:U16">S7*$B$47+$B$48*S7^2.5</f>
        <v>0.0077035077374653085</v>
      </c>
    </row>
    <row r="8" spans="1:21" ht="12.75">
      <c r="A8" s="10">
        <f t="shared" si="5"/>
        <v>2020</v>
      </c>
      <c r="B8" s="27">
        <f t="shared" si="6"/>
        <v>71.20319927829215</v>
      </c>
      <c r="C8" s="13">
        <f t="shared" si="7"/>
        <v>0.976152031958374</v>
      </c>
      <c r="D8" s="11">
        <f t="shared" si="8"/>
        <v>27.63730440482146</v>
      </c>
      <c r="E8" s="11">
        <f t="shared" si="9"/>
        <v>229.05064293736612</v>
      </c>
      <c r="F8" s="11">
        <v>600</v>
      </c>
      <c r="G8" s="11">
        <f t="shared" si="10"/>
        <v>15.664703841224272</v>
      </c>
      <c r="H8" s="12">
        <f t="shared" si="0"/>
        <v>48.97599543706787</v>
      </c>
      <c r="I8" s="11">
        <f t="shared" si="11"/>
        <v>12000</v>
      </c>
      <c r="J8" s="13">
        <f t="shared" si="12"/>
        <v>0.010937500000000001</v>
      </c>
      <c r="K8" s="12">
        <f t="shared" si="1"/>
        <v>3.8913302890363557</v>
      </c>
      <c r="L8" s="13">
        <f t="shared" si="2"/>
        <v>0.5536757541863347</v>
      </c>
      <c r="M8" s="12">
        <f t="shared" si="3"/>
        <v>2.1545352325703324</v>
      </c>
      <c r="N8" s="12">
        <f t="shared" si="4"/>
        <v>10.799999999999999</v>
      </c>
      <c r="O8" s="27">
        <f aca="true" t="shared" si="17" ref="O8:O16">10*N8+(1-(1/$B$42))^10*O7</f>
        <v>889.8455675792917</v>
      </c>
      <c r="P8" s="27">
        <f t="shared" si="13"/>
        <v>407.9988847222795</v>
      </c>
      <c r="Q8" s="13">
        <f t="shared" si="14"/>
        <v>1</v>
      </c>
      <c r="R8" s="12">
        <f t="shared" si="15"/>
        <v>2.3668263557204345</v>
      </c>
      <c r="S8" s="12">
        <f aca="true" t="shared" si="18" ref="S8:S16">S7+$B$44*(1.2*R8-$B$43*S7-$B$45*(S7-T7))</f>
        <v>1.2471131673160223</v>
      </c>
      <c r="T8" s="12">
        <f aca="true" t="shared" si="19" ref="T8:T16">T7+$B$46*(S7-T7)</f>
        <v>0.1313509596715807</v>
      </c>
      <c r="U8" s="20">
        <f t="shared" si="16"/>
        <v>0.01008796809286614</v>
      </c>
    </row>
    <row r="9" spans="1:21" ht="12.75">
      <c r="A9" s="10">
        <f t="shared" si="5"/>
        <v>2030</v>
      </c>
      <c r="B9" s="27">
        <f t="shared" si="6"/>
        <v>89.53656010219767</v>
      </c>
      <c r="C9" s="13">
        <f t="shared" si="7"/>
        <v>1.0782791322663252</v>
      </c>
      <c r="D9" s="11">
        <f t="shared" si="8"/>
        <v>30.528777932290332</v>
      </c>
      <c r="E9" s="11">
        <f t="shared" si="9"/>
        <v>293.78811929514416</v>
      </c>
      <c r="F9" s="11">
        <v>600</v>
      </c>
      <c r="G9" s="11">
        <f t="shared" si="10"/>
        <v>19.698043222483488</v>
      </c>
      <c r="H9" s="12">
        <f t="shared" si="0"/>
        <v>62.95327097807483</v>
      </c>
      <c r="I9" s="11">
        <f t="shared" si="11"/>
        <v>18000</v>
      </c>
      <c r="J9" s="13">
        <f t="shared" si="12"/>
        <v>0.011475409836065573</v>
      </c>
      <c r="K9" s="12">
        <f t="shared" si="1"/>
        <v>4.142392720666612</v>
      </c>
      <c r="L9" s="13">
        <f t="shared" si="2"/>
        <v>0.41198675951590663</v>
      </c>
      <c r="M9" s="12">
        <f t="shared" si="3"/>
        <v>1.7066109536297176</v>
      </c>
      <c r="N9" s="12">
        <f t="shared" si="4"/>
        <v>10.799999999999999</v>
      </c>
      <c r="O9" s="27">
        <f t="shared" si="17"/>
        <v>926.4116350737793</v>
      </c>
      <c r="P9" s="27">
        <f t="shared" si="13"/>
        <v>424.76461947445176</v>
      </c>
      <c r="Q9" s="13">
        <f t="shared" si="14"/>
        <v>1</v>
      </c>
      <c r="R9" s="12">
        <f t="shared" si="15"/>
        <v>2.6050297716933155</v>
      </c>
      <c r="S9" s="12">
        <f t="shared" si="18"/>
        <v>1.4452407655741626</v>
      </c>
      <c r="T9" s="12">
        <f t="shared" si="19"/>
        <v>0.15366620382446952</v>
      </c>
      <c r="U9" s="20">
        <f t="shared" si="16"/>
        <v>0.012437977507047247</v>
      </c>
    </row>
    <row r="10" spans="1:21" ht="12.75">
      <c r="A10" s="10">
        <f t="shared" si="5"/>
        <v>2040</v>
      </c>
      <c r="B10" s="27">
        <f t="shared" si="6"/>
        <v>112.37755080187156</v>
      </c>
      <c r="C10" s="13">
        <f t="shared" si="7"/>
        <v>1.1910909868705777</v>
      </c>
      <c r="D10" s="11">
        <f t="shared" si="8"/>
        <v>33.72276356577323</v>
      </c>
      <c r="E10" s="11">
        <f t="shared" si="9"/>
        <v>372.88223155620926</v>
      </c>
      <c r="F10" s="11">
        <v>600</v>
      </c>
      <c r="G10" s="11">
        <f t="shared" si="10"/>
        <v>24.723061176411743</v>
      </c>
      <c r="H10" s="12">
        <f t="shared" si="0"/>
        <v>80.41311031511499</v>
      </c>
      <c r="I10" s="11">
        <f t="shared" si="11"/>
        <v>24000</v>
      </c>
      <c r="J10" s="13">
        <f t="shared" si="12"/>
        <v>0.01206896551724138</v>
      </c>
      <c r="K10" s="12">
        <f t="shared" si="1"/>
        <v>4.3871772265123266</v>
      </c>
      <c r="L10" s="13">
        <f t="shared" si="2"/>
        <v>0.3065568407738065</v>
      </c>
      <c r="M10" s="12">
        <f t="shared" si="3"/>
        <v>1.3449191904744093</v>
      </c>
      <c r="N10" s="12">
        <f t="shared" si="4"/>
        <v>10.799999999999999</v>
      </c>
      <c r="O10" s="27">
        <f t="shared" si="17"/>
        <v>960.0422965915883</v>
      </c>
      <c r="P10" s="27">
        <f t="shared" si="13"/>
        <v>440.184455108477</v>
      </c>
      <c r="Q10" s="13">
        <f t="shared" si="14"/>
        <v>1</v>
      </c>
      <c r="R10" s="12">
        <f t="shared" si="15"/>
        <v>2.815952612805064</v>
      </c>
      <c r="S10" s="12">
        <f t="shared" si="18"/>
        <v>1.6199525173886438</v>
      </c>
      <c r="T10" s="12">
        <f t="shared" si="19"/>
        <v>0.1794976950594634</v>
      </c>
      <c r="U10" s="20">
        <f t="shared" si="16"/>
        <v>0.014729821765428515</v>
      </c>
    </row>
    <row r="11" spans="1:21" ht="12.75">
      <c r="A11" s="10">
        <f t="shared" si="5"/>
        <v>2050</v>
      </c>
      <c r="B11" s="27">
        <f t="shared" si="6"/>
        <v>140.96813478536083</v>
      </c>
      <c r="C11" s="13">
        <f t="shared" si="7"/>
        <v>1.3157054574751068</v>
      </c>
      <c r="D11" s="11">
        <f t="shared" si="8"/>
        <v>37.25091076476396</v>
      </c>
      <c r="E11" s="11">
        <f t="shared" si="9"/>
        <v>470.4889777824586</v>
      </c>
      <c r="F11" s="11">
        <v>600</v>
      </c>
      <c r="G11" s="11">
        <f t="shared" si="10"/>
        <v>31.012989652779382</v>
      </c>
      <c r="H11" s="12">
        <f t="shared" si="0"/>
        <v>102.31878149621781</v>
      </c>
      <c r="I11" s="11">
        <f t="shared" si="11"/>
        <v>30000</v>
      </c>
      <c r="J11" s="13">
        <f t="shared" si="12"/>
        <v>0.012727272727272728</v>
      </c>
      <c r="K11" s="12">
        <f t="shared" si="1"/>
        <v>4.628093248444965</v>
      </c>
      <c r="L11" s="13">
        <f t="shared" si="2"/>
        <v>0.2281070797897537</v>
      </c>
      <c r="M11" s="12">
        <f t="shared" si="3"/>
        <v>1.055700835897456</v>
      </c>
      <c r="N11" s="12">
        <f t="shared" si="4"/>
        <v>10.799999999999999</v>
      </c>
      <c r="O11" s="27">
        <f t="shared" si="17"/>
        <v>990.9731970581463</v>
      </c>
      <c r="P11" s="27">
        <f t="shared" si="13"/>
        <v>454.3664360651748</v>
      </c>
      <c r="Q11" s="13">
        <f t="shared" si="14"/>
        <v>1</v>
      </c>
      <c r="R11" s="12">
        <f t="shared" si="15"/>
        <v>3.0035196964198687</v>
      </c>
      <c r="S11" s="12">
        <f t="shared" si="18"/>
        <v>1.775054162334233</v>
      </c>
      <c r="T11" s="12">
        <f t="shared" si="19"/>
        <v>0.208306791506047</v>
      </c>
      <c r="U11" s="20">
        <f t="shared" si="16"/>
        <v>0.01694713052397239</v>
      </c>
    </row>
    <row r="12" spans="1:21" ht="12.75">
      <c r="A12" s="10">
        <f t="shared" si="5"/>
        <v>2060</v>
      </c>
      <c r="B12" s="27">
        <f t="shared" si="6"/>
        <v>176.88759703398432</v>
      </c>
      <c r="C12" s="13">
        <f t="shared" si="7"/>
        <v>1.453357358851274</v>
      </c>
      <c r="D12" s="11">
        <f t="shared" si="8"/>
        <v>41.14818022247669</v>
      </c>
      <c r="E12" s="11">
        <f t="shared" si="9"/>
        <v>591.8290270306568</v>
      </c>
      <c r="F12" s="11">
        <v>600</v>
      </c>
      <c r="G12" s="11">
        <f t="shared" si="10"/>
        <v>38.91527134747655</v>
      </c>
      <c r="H12" s="12">
        <f t="shared" si="0"/>
        <v>129.8954026095847</v>
      </c>
      <c r="I12" s="11">
        <f t="shared" si="11"/>
        <v>36000</v>
      </c>
      <c r="J12" s="13">
        <f t="shared" si="12"/>
        <v>0.013461538461538462</v>
      </c>
      <c r="K12" s="12">
        <f t="shared" si="1"/>
        <v>4.866729531284159</v>
      </c>
      <c r="L12" s="13">
        <f t="shared" si="2"/>
        <v>0.16973309001641748</v>
      </c>
      <c r="M12" s="12">
        <f t="shared" si="3"/>
        <v>0.8260450416190115</v>
      </c>
      <c r="N12" s="12">
        <f t="shared" si="4"/>
        <v>10.799999999999999</v>
      </c>
      <c r="O12" s="27">
        <f t="shared" si="17"/>
        <v>1019.4210645841981</v>
      </c>
      <c r="P12" s="27">
        <f t="shared" si="13"/>
        <v>467.4099333260881</v>
      </c>
      <c r="Q12" s="13">
        <f t="shared" si="14"/>
        <v>1</v>
      </c>
      <c r="R12" s="12">
        <f t="shared" si="15"/>
        <v>3.170931417647782</v>
      </c>
      <c r="S12" s="12">
        <f t="shared" si="18"/>
        <v>1.91357464487573</v>
      </c>
      <c r="T12" s="12">
        <f t="shared" si="19"/>
        <v>0.23964173892261073</v>
      </c>
      <c r="U12" s="20">
        <f t="shared" si="16"/>
        <v>0.019079543909779204</v>
      </c>
    </row>
    <row r="13" spans="1:21" ht="12.75">
      <c r="A13" s="10">
        <f t="shared" si="5"/>
        <v>2070</v>
      </c>
      <c r="B13" s="27">
        <f t="shared" si="6"/>
        <v>222.15365401178897</v>
      </c>
      <c r="C13" s="13">
        <f t="shared" si="7"/>
        <v>1.6054106947163094</v>
      </c>
      <c r="D13" s="11">
        <f t="shared" si="8"/>
        <v>45.4531902941555</v>
      </c>
      <c r="E13" s="11">
        <f t="shared" si="9"/>
        <v>743.5026136715287</v>
      </c>
      <c r="F13" s="11">
        <v>600</v>
      </c>
      <c r="G13" s="11">
        <f t="shared" si="10"/>
        <v>48.87380388259358</v>
      </c>
      <c r="H13" s="12">
        <f t="shared" si="0"/>
        <v>164.7084215577668</v>
      </c>
      <c r="I13" s="11">
        <f t="shared" si="11"/>
        <v>42000</v>
      </c>
      <c r="J13" s="13">
        <f t="shared" si="12"/>
        <v>0.014285714285714287</v>
      </c>
      <c r="K13" s="12">
        <f t="shared" si="1"/>
        <v>5.104176768588972</v>
      </c>
      <c r="L13" s="13">
        <f t="shared" si="2"/>
        <v>0.1262973594378343</v>
      </c>
      <c r="M13" s="12">
        <f t="shared" si="3"/>
        <v>0.6446440479767249</v>
      </c>
      <c r="N13" s="12">
        <f t="shared" si="4"/>
        <v>10.799999999999999</v>
      </c>
      <c r="O13" s="27">
        <f t="shared" si="17"/>
        <v>1045.5852290466835</v>
      </c>
      <c r="P13" s="27">
        <f t="shared" si="13"/>
        <v>479.40634069082233</v>
      </c>
      <c r="Q13" s="13">
        <f t="shared" si="14"/>
        <v>1</v>
      </c>
      <c r="R13" s="12">
        <f t="shared" si="15"/>
        <v>3.3208298612480096</v>
      </c>
      <c r="S13" s="12">
        <f t="shared" si="18"/>
        <v>2.037948118742112</v>
      </c>
      <c r="T13" s="12">
        <f t="shared" si="19"/>
        <v>0.2731203970416731</v>
      </c>
      <c r="U13" s="20">
        <f t="shared" si="16"/>
        <v>0.021121216541134948</v>
      </c>
    </row>
    <row r="14" spans="1:21" ht="12.75">
      <c r="A14" s="10">
        <f t="shared" si="5"/>
        <v>2080</v>
      </c>
      <c r="B14" s="27">
        <f t="shared" si="6"/>
        <v>279.3535990499983</v>
      </c>
      <c r="C14" s="13">
        <f t="shared" si="7"/>
        <v>1.7733721737554085</v>
      </c>
      <c r="D14" s="11">
        <f t="shared" si="8"/>
        <v>50.20859966944999</v>
      </c>
      <c r="E14" s="11">
        <f t="shared" si="9"/>
        <v>933.9005180513617</v>
      </c>
      <c r="F14" s="11">
        <v>600</v>
      </c>
      <c r="G14" s="11">
        <f t="shared" si="10"/>
        <v>61.45779179099963</v>
      </c>
      <c r="H14" s="12">
        <f t="shared" si="0"/>
        <v>208.76537247638998</v>
      </c>
      <c r="I14" s="11">
        <f t="shared" si="11"/>
        <v>48000</v>
      </c>
      <c r="J14" s="13">
        <f t="shared" si="12"/>
        <v>0.015217391304347827</v>
      </c>
      <c r="K14" s="12">
        <f t="shared" si="1"/>
        <v>5.34121100162509</v>
      </c>
      <c r="L14" s="13">
        <f t="shared" si="2"/>
        <v>0.09397709662521697</v>
      </c>
      <c r="M14" s="12">
        <f t="shared" si="3"/>
        <v>0.501951502395393</v>
      </c>
      <c r="N14" s="12">
        <f t="shared" si="4"/>
        <v>10.799999999999999</v>
      </c>
      <c r="O14" s="27">
        <f t="shared" si="17"/>
        <v>1069.64901876284</v>
      </c>
      <c r="P14" s="27">
        <f t="shared" si="13"/>
        <v>490.4397151594864</v>
      </c>
      <c r="Q14" s="13">
        <f t="shared" si="14"/>
        <v>1</v>
      </c>
      <c r="R14" s="12">
        <f t="shared" si="15"/>
        <v>3.4554198269767054</v>
      </c>
      <c r="S14" s="12">
        <f t="shared" si="18"/>
        <v>2.150150959653941</v>
      </c>
      <c r="T14" s="12">
        <f t="shared" si="19"/>
        <v>0.3084169514756819</v>
      </c>
      <c r="U14" s="20">
        <f t="shared" si="16"/>
        <v>0.02306956372902759</v>
      </c>
    </row>
    <row r="15" spans="1:21" ht="12.75">
      <c r="A15" s="10">
        <f t="shared" si="5"/>
        <v>2090</v>
      </c>
      <c r="B15" s="27">
        <f t="shared" si="6"/>
        <v>351.8154442009302</v>
      </c>
      <c r="C15" s="13">
        <f t="shared" si="7"/>
        <v>1.9589061397187875</v>
      </c>
      <c r="D15" s="11">
        <f t="shared" si="8"/>
        <v>55.46153008078816</v>
      </c>
      <c r="E15" s="11">
        <f t="shared" si="9"/>
        <v>1173.738655641205</v>
      </c>
      <c r="F15" s="11">
        <v>600</v>
      </c>
      <c r="G15" s="11">
        <f t="shared" si="10"/>
        <v>77.39939772420465</v>
      </c>
      <c r="H15" s="12">
        <f t="shared" si="0"/>
        <v>264.64860461626046</v>
      </c>
      <c r="I15" s="11">
        <f t="shared" si="11"/>
        <v>54000</v>
      </c>
      <c r="J15" s="13">
        <f t="shared" si="12"/>
        <v>0.01627906976744186</v>
      </c>
      <c r="K15" s="12">
        <f t="shared" si="1"/>
        <v>5.5784029257273176</v>
      </c>
      <c r="L15" s="13">
        <f t="shared" si="2"/>
        <v>0.0699277857384855</v>
      </c>
      <c r="M15" s="12">
        <f t="shared" si="3"/>
        <v>0.39008536455320053</v>
      </c>
      <c r="N15" s="12">
        <f t="shared" si="4"/>
        <v>10.799999999999999</v>
      </c>
      <c r="O15" s="27">
        <f t="shared" si="17"/>
        <v>1091.7810450438117</v>
      </c>
      <c r="P15" s="27">
        <f t="shared" si="13"/>
        <v>500.5873659072956</v>
      </c>
      <c r="Q15" s="13">
        <f t="shared" si="14"/>
        <v>1</v>
      </c>
      <c r="R15" s="12">
        <f t="shared" si="15"/>
        <v>3.576558708557149</v>
      </c>
      <c r="S15" s="12">
        <f t="shared" si="18"/>
        <v>2.251804546838069</v>
      </c>
      <c r="T15" s="12">
        <f t="shared" si="19"/>
        <v>0.34525163163924705</v>
      </c>
      <c r="U15" s="20">
        <f t="shared" si="16"/>
        <v>0.024924304816676204</v>
      </c>
    </row>
    <row r="16" spans="1:21" ht="12.75">
      <c r="A16" s="15">
        <f t="shared" si="5"/>
        <v>2100</v>
      </c>
      <c r="B16" s="33">
        <f t="shared" si="6"/>
        <v>443.83220729671734</v>
      </c>
      <c r="C16" s="19">
        <f t="shared" si="7"/>
        <v>2.1638510635372254</v>
      </c>
      <c r="D16" s="16">
        <f t="shared" si="8"/>
        <v>61.26403323639768</v>
      </c>
      <c r="E16" s="16">
        <f t="shared" si="9"/>
        <v>1476.7546673864313</v>
      </c>
      <c r="F16" s="11">
        <v>600</v>
      </c>
      <c r="G16" s="16">
        <f t="shared" si="10"/>
        <v>97.64308560527782</v>
      </c>
      <c r="H16" s="18">
        <f t="shared" si="0"/>
        <v>335.68912169143954</v>
      </c>
      <c r="I16" s="16">
        <f t="shared" si="11"/>
        <v>60000</v>
      </c>
      <c r="J16" s="19">
        <f t="shared" si="12"/>
        <v>0.0175</v>
      </c>
      <c r="K16" s="18">
        <f t="shared" si="1"/>
        <v>5.816185498609703</v>
      </c>
      <c r="L16" s="19">
        <f t="shared" si="2"/>
        <v>0.05203283985020906</v>
      </c>
      <c r="M16" s="18">
        <f t="shared" si="3"/>
        <v>0.302632648588267</v>
      </c>
      <c r="N16" s="18">
        <f t="shared" si="4"/>
        <v>10.799999999999999</v>
      </c>
      <c r="O16" s="28">
        <f t="shared" si="17"/>
        <v>1112.1363836284386</v>
      </c>
      <c r="P16" s="28">
        <f t="shared" si="13"/>
        <v>509.9203959781928</v>
      </c>
      <c r="Q16" s="19">
        <f t="shared" si="14"/>
        <v>1</v>
      </c>
      <c r="R16" s="18">
        <f t="shared" si="15"/>
        <v>3.6858243833293303</v>
      </c>
      <c r="S16" s="18">
        <f t="shared" si="18"/>
        <v>2.3442524608141935</v>
      </c>
      <c r="T16" s="18">
        <f t="shared" si="19"/>
        <v>0.3833826899432235</v>
      </c>
      <c r="U16" s="31">
        <f t="shared" si="16"/>
        <v>0.026686760150216326</v>
      </c>
    </row>
    <row r="17" spans="1:21" ht="12.75">
      <c r="A17" s="37">
        <f t="shared" si="5"/>
        <v>2110</v>
      </c>
      <c r="B17" s="38">
        <f t="shared" si="6"/>
        <v>560.9568860476063</v>
      </c>
      <c r="C17" s="39">
        <f t="shared" si="7"/>
        <v>2.3902377608777856</v>
      </c>
      <c r="D17" s="40">
        <f t="shared" si="8"/>
        <v>67.6736066048523</v>
      </c>
      <c r="E17" s="40">
        <f>E16*(1-$B$31)^10+10*G16</f>
        <v>1860.6184256097204</v>
      </c>
      <c r="F17" s="11">
        <v>600</v>
      </c>
      <c r="G17" s="40">
        <f>B$33*B17</f>
        <v>123.41051493047338</v>
      </c>
      <c r="H17" s="41">
        <f>B17-G17-J17*F17</f>
        <v>426.1950197657816</v>
      </c>
      <c r="I17" s="40">
        <f>F16*10+I16</f>
        <v>66000</v>
      </c>
      <c r="J17" s="39">
        <f t="shared" si="12"/>
        <v>0.01891891891891892</v>
      </c>
      <c r="K17" s="41">
        <f>LN(H17)</f>
        <v>6.054897034391602</v>
      </c>
      <c r="L17" s="39">
        <f>(1/(1+$B$36))^(A17-$A$6)</f>
        <v>0.03871731950733639</v>
      </c>
      <c r="M17" s="41">
        <f>K17*L17</f>
        <v>0.2344293830645632</v>
      </c>
      <c r="N17" s="41">
        <f>F17*$B$35</f>
        <v>10.799999999999999</v>
      </c>
      <c r="O17" s="42">
        <f>10*N17+(1-(1/$B$42))^10*O16</f>
        <v>1130.8576612753495</v>
      </c>
      <c r="P17" s="42">
        <f t="shared" si="13"/>
        <v>518.5042004930534</v>
      </c>
      <c r="Q17" s="39">
        <f>F17/F16</f>
        <v>1</v>
      </c>
      <c r="R17" s="41">
        <f>4.1*(LN(O17/596.4)/LN(2))</f>
        <v>3.784567274766979</v>
      </c>
      <c r="S17" s="41">
        <f>S16+$B$44*(1.2*R17-$B$43*S16-$B$45*(S16-T16))</f>
        <v>2.4286187265525383</v>
      </c>
      <c r="T17" s="41">
        <f>T16+$B$46*(S16-T16)</f>
        <v>0.4226000853606429</v>
      </c>
      <c r="U17" s="43">
        <f>S17*$B$47+$B$48*S17^2.5</f>
        <v>0.028359341957666005</v>
      </c>
    </row>
    <row r="18" spans="1:21" ht="12.75">
      <c r="A18" s="37">
        <f t="shared" si="5"/>
        <v>2120</v>
      </c>
      <c r="B18" s="42">
        <f t="shared" si="6"/>
        <v>710.3916606136504</v>
      </c>
      <c r="C18" s="39">
        <f t="shared" si="7"/>
        <v>2.6403095156589385</v>
      </c>
      <c r="D18" s="40">
        <f t="shared" si="8"/>
        <v>74.75376316209369</v>
      </c>
      <c r="E18" s="40">
        <f>E17*(1-$B$31)^10+10*G17</f>
        <v>2348.1261305448293</v>
      </c>
      <c r="F18" s="11">
        <v>600</v>
      </c>
      <c r="G18" s="40">
        <f>B$33*B18</f>
        <v>156.2861653350031</v>
      </c>
      <c r="H18" s="41">
        <f>B18-G18-J18*F18</f>
        <v>541.7525541021768</v>
      </c>
      <c r="I18" s="40">
        <f>F17*10+I17</f>
        <v>72000</v>
      </c>
      <c r="J18" s="39">
        <f t="shared" si="12"/>
        <v>0.020588235294117647</v>
      </c>
      <c r="K18" s="41">
        <f>LN(H18)</f>
        <v>6.294809354945598</v>
      </c>
      <c r="L18" s="39">
        <f>(1/(1+$B$36))^(A18-$A$6)</f>
        <v>0.028809321846521272</v>
      </c>
      <c r="M18" s="41">
        <f>K18*L18</f>
        <v>0.1813491886691207</v>
      </c>
      <c r="N18" s="41">
        <f>F18*$B$35</f>
        <v>10.799999999999999</v>
      </c>
      <c r="O18" s="42">
        <f>10*N18+(1-(1/$B$42))^10*O17</f>
        <v>1148.076055126947</v>
      </c>
      <c r="P18" s="42">
        <f t="shared" si="13"/>
        <v>526.3989248633411</v>
      </c>
      <c r="Q18" s="39">
        <f>F18/F17</f>
        <v>1</v>
      </c>
      <c r="R18" s="41">
        <f>4.1*(LN(O18/596.4)/LN(2))</f>
        <v>3.8739508247607346</v>
      </c>
      <c r="S18" s="41">
        <f>S17+$B$44*(1.2*R18-$B$43*S17-$B$45*(S17-T17))</f>
        <v>2.5058520531442956</v>
      </c>
      <c r="T18" s="41">
        <f>T17+$B$46*(S17-T17)</f>
        <v>0.4627204581844808</v>
      </c>
      <c r="U18" s="44">
        <f>S18*$B$47+$B$48*S18^2.5</f>
        <v>0.029945187219825614</v>
      </c>
    </row>
    <row r="19" spans="1:21" ht="12.75">
      <c r="A19" s="37">
        <f t="shared" si="5"/>
        <v>2130</v>
      </c>
      <c r="B19" s="42">
        <f t="shared" si="6"/>
        <v>901.5030559653136</v>
      </c>
      <c r="C19" s="39">
        <f t="shared" si="7"/>
        <v>2.916544308930605</v>
      </c>
      <c r="D19" s="40">
        <f t="shared" si="8"/>
        <v>82.57466074659776</v>
      </c>
      <c r="E19" s="40">
        <f>E18*(1-$B$31)^10+10*G18</f>
        <v>2968.7715056980996</v>
      </c>
      <c r="F19" s="11">
        <v>600</v>
      </c>
      <c r="G19" s="40">
        <f>B$33*B19</f>
        <v>198.330672312369</v>
      </c>
      <c r="H19" s="41">
        <f>B19-G19-J19*F19</f>
        <v>689.6239965561705</v>
      </c>
      <c r="I19" s="40">
        <f>F18*10+I18</f>
        <v>78000</v>
      </c>
      <c r="J19" s="39">
        <f t="shared" si="12"/>
        <v>0.022580645161290325</v>
      </c>
      <c r="K19" s="41">
        <f>LN(H19)</f>
        <v>6.536146516534325</v>
      </c>
      <c r="L19" s="39">
        <f>(1/(1+$B$36))^(A19-$A$6)</f>
        <v>0.02143684107829776</v>
      </c>
      <c r="M19" s="41">
        <f>K19*L19</f>
        <v>0.14011433413941582</v>
      </c>
      <c r="N19" s="41">
        <f>F19*$B$35</f>
        <v>10.799999999999999</v>
      </c>
      <c r="O19" s="42">
        <f>10*N19+(1-(1/$B$42))^10*O18</f>
        <v>1163.9122118476744</v>
      </c>
      <c r="P19" s="42">
        <f t="shared" si="13"/>
        <v>533.6598862208502</v>
      </c>
      <c r="Q19" s="39">
        <f>F19/F18</f>
        <v>1</v>
      </c>
      <c r="R19" s="41">
        <f>4.1*(LN(O19/596.4)/LN(2))</f>
        <v>3.9549833454284045</v>
      </c>
      <c r="S19" s="41">
        <f>S18+$B$44*(1.2*R19-$B$43*S18-$B$45*(S18-T18))</f>
        <v>2.576759715366714</v>
      </c>
      <c r="T19" s="41">
        <f>T18+$B$46*(S18-T18)</f>
        <v>0.5035830900836771</v>
      </c>
      <c r="U19" s="44">
        <f>S19*$B$47+$B$48*S19^2.5</f>
        <v>0.03144789289455369</v>
      </c>
    </row>
    <row r="20" spans="1:21" ht="12.75">
      <c r="A20" s="37">
        <f t="shared" si="5"/>
        <v>2140</v>
      </c>
      <c r="B20" s="42">
        <f t="shared" si="6"/>
        <v>1146.5060005850492</v>
      </c>
      <c r="C20" s="39">
        <f t="shared" si="7"/>
        <v>3.2216793733868783</v>
      </c>
      <c r="D20" s="40">
        <f t="shared" si="8"/>
        <v>91.21379725901599</v>
      </c>
      <c r="E20" s="40">
        <f>E19*(1-$B$31)^10+10*G19</f>
        <v>3760.8198877434834</v>
      </c>
      <c r="F20" s="11">
        <v>600</v>
      </c>
      <c r="G20" s="40">
        <f>B$33*B20</f>
        <v>252.23132012871082</v>
      </c>
      <c r="H20" s="41">
        <f>B20-G20-J20*F20</f>
        <v>879.2746804563383</v>
      </c>
      <c r="I20" s="40">
        <f>F19*10+I19</f>
        <v>84000</v>
      </c>
      <c r="J20" s="39">
        <f t="shared" si="12"/>
        <v>0.025</v>
      </c>
      <c r="K20" s="41">
        <f>LN(H20)</f>
        <v>6.779097340856459</v>
      </c>
      <c r="L20" s="39">
        <f>(1/(1+$B$36))^(A20-$A$6)</f>
        <v>0.015951023000969514</v>
      </c>
      <c r="M20" s="41">
        <f>K20*L20</f>
        <v>0.10813353760981265</v>
      </c>
      <c r="N20" s="41">
        <f>F20*$B$35</f>
        <v>10.799999999999999</v>
      </c>
      <c r="O20" s="42">
        <f>10*N20+(1-(1/$B$42))^10*O19</f>
        <v>1178.4770929768263</v>
      </c>
      <c r="P20" s="42">
        <f t="shared" si="13"/>
        <v>540.3379610164266</v>
      </c>
      <c r="Q20" s="39">
        <f>F20/F19</f>
        <v>1</v>
      </c>
      <c r="R20" s="41">
        <f>4.1*(LN(O20/596.4)/LN(2))</f>
        <v>4.028543368460666</v>
      </c>
      <c r="S20" s="41">
        <f>S19+$B$44*(1.2*R20-$B$43*S19-$B$45*(S19-T19))</f>
        <v>2.6420337423763445</v>
      </c>
      <c r="T20" s="41">
        <f>T19+$B$46*(S19-T19)</f>
        <v>0.5450466225893378</v>
      </c>
      <c r="U20" s="44">
        <f>S20*$B$47+$B$48*S20^2.5</f>
        <v>0.032871324735556665</v>
      </c>
    </row>
    <row r="21" spans="1:21" ht="12.75">
      <c r="A21" s="45">
        <f t="shared" si="5"/>
        <v>2150</v>
      </c>
      <c r="B21" s="46">
        <f t="shared" si="6"/>
        <v>1461.3750990128865</v>
      </c>
      <c r="C21" s="47">
        <f t="shared" si="7"/>
        <v>3.558738316824052</v>
      </c>
      <c r="D21" s="48">
        <f t="shared" si="8"/>
        <v>100.75677859508096</v>
      </c>
      <c r="E21" s="48">
        <f>E20*(1-$B$31)^10+10*G20</f>
        <v>4774.054989901466</v>
      </c>
      <c r="F21" s="11">
        <v>600</v>
      </c>
      <c r="G21" s="48">
        <f>B$33*B21</f>
        <v>321.502521782835</v>
      </c>
      <c r="H21" s="49">
        <f>B21-G21-J21*F21</f>
        <v>1123.0725772300516</v>
      </c>
      <c r="I21" s="48">
        <f>F20*10+I20</f>
        <v>90000</v>
      </c>
      <c r="J21" s="47">
        <f t="shared" si="12"/>
        <v>0.027999999999999997</v>
      </c>
      <c r="K21" s="49">
        <f>LN(H21)</f>
        <v>7.023823580637724</v>
      </c>
      <c r="L21" s="47">
        <f>(1/(1+$B$36))^(A21-$A$6)</f>
        <v>0.011869059151399113</v>
      </c>
      <c r="M21" s="49">
        <f>K21*L21</f>
        <v>0.08336617754758106</v>
      </c>
      <c r="N21" s="49">
        <f>F21*$B$35</f>
        <v>10.799999999999999</v>
      </c>
      <c r="O21" s="50">
        <f>10*N21+(1-(1/$B$42))^10*O20</f>
        <v>1191.8727524191622</v>
      </c>
      <c r="P21" s="50">
        <f t="shared" si="13"/>
        <v>546.4799415035131</v>
      </c>
      <c r="Q21" s="47">
        <f>F21/F20</f>
        <v>1</v>
      </c>
      <c r="R21" s="49">
        <f>4.1*(LN(O21/596.4)/LN(2))</f>
        <v>4.095400026468442</v>
      </c>
      <c r="S21" s="49">
        <f>S20+$B$44*(1.2*R21-$B$43*S20-$B$45*(S20-T20))</f>
        <v>2.7022713580173203</v>
      </c>
      <c r="T21" s="49">
        <f>T20+$B$46*(S20-T20)</f>
        <v>0.586986364985078</v>
      </c>
      <c r="U21" s="51">
        <f>S21*$B$47+$B$48*S21^2.5</f>
        <v>0.03421947924098963</v>
      </c>
    </row>
    <row r="22" spans="1:13" ht="12" customHeight="1">
      <c r="A22" s="22" t="s">
        <v>35</v>
      </c>
      <c r="B22">
        <v>0.8</v>
      </c>
      <c r="C22" s="22"/>
      <c r="I22" s="11"/>
      <c r="M22" s="30">
        <f>SUM(M6:M21)</f>
        <v>15.728066118040632</v>
      </c>
    </row>
    <row r="23" spans="1:3" ht="12.75">
      <c r="A23" t="s">
        <v>25</v>
      </c>
      <c r="B23">
        <v>130</v>
      </c>
      <c r="C23" s="23"/>
    </row>
    <row r="24" spans="1:17" ht="12.75">
      <c r="A24" t="s">
        <v>26</v>
      </c>
      <c r="B24">
        <v>22.65</v>
      </c>
      <c r="C24" s="23"/>
      <c r="O24" s="2"/>
      <c r="P24" s="2"/>
      <c r="Q24" s="2"/>
    </row>
    <row r="25" spans="1:17" ht="12.75">
      <c r="A25" t="s">
        <v>27</v>
      </c>
      <c r="B25">
        <v>600</v>
      </c>
      <c r="C25" s="23"/>
      <c r="O25" s="3"/>
      <c r="P25" s="4" t="s">
        <v>5</v>
      </c>
      <c r="Q25" s="6" t="s">
        <v>5</v>
      </c>
    </row>
    <row r="26" spans="1:17" ht="12.75">
      <c r="A26" s="23" t="s">
        <v>31</v>
      </c>
      <c r="B26">
        <v>0.25</v>
      </c>
      <c r="C26" s="23"/>
      <c r="O26" s="5" t="s">
        <v>7</v>
      </c>
      <c r="P26" s="4" t="s">
        <v>22</v>
      </c>
      <c r="Q26" s="4" t="s">
        <v>22</v>
      </c>
    </row>
    <row r="27" spans="1:17" ht="12.75">
      <c r="A27" s="23" t="s">
        <v>32</v>
      </c>
      <c r="B27">
        <v>0.65</v>
      </c>
      <c r="C27" s="23"/>
      <c r="O27" s="7" t="s">
        <v>19</v>
      </c>
      <c r="P27" s="8" t="s">
        <v>60</v>
      </c>
      <c r="Q27" s="8" t="s">
        <v>23</v>
      </c>
    </row>
    <row r="28" spans="1:17" ht="12.75">
      <c r="A28" s="23" t="s">
        <v>38</v>
      </c>
      <c r="B28">
        <v>1.25</v>
      </c>
      <c r="C28" s="23"/>
      <c r="O28" s="10">
        <v>2000</v>
      </c>
      <c r="P28" s="20">
        <f aca="true" t="shared" si="20" ref="P28:P38">N6/B6</f>
        <v>0.24367646638508889</v>
      </c>
      <c r="Q28" s="20"/>
    </row>
    <row r="29" spans="1:17" ht="12.75">
      <c r="A29" s="23" t="s">
        <v>39</v>
      </c>
      <c r="B29">
        <f>(B28-1)/B28</f>
        <v>0.2</v>
      </c>
      <c r="C29" s="23"/>
      <c r="O29" s="10">
        <f>10+O28</f>
        <v>2010</v>
      </c>
      <c r="P29" s="20">
        <f t="shared" si="20"/>
        <v>0.1915096943374383</v>
      </c>
      <c r="Q29" s="20"/>
    </row>
    <row r="30" spans="1:17" ht="12.75">
      <c r="A30" s="34" t="s">
        <v>34</v>
      </c>
      <c r="B30" s="35">
        <v>0.01</v>
      </c>
      <c r="C30" s="23"/>
      <c r="O30" s="10">
        <f aca="true" t="shared" si="21" ref="O30:O38">10+O29</f>
        <v>2020</v>
      </c>
      <c r="P30" s="20">
        <f t="shared" si="20"/>
        <v>0.1516785777811618</v>
      </c>
      <c r="Q30" s="20"/>
    </row>
    <row r="31" spans="1:17" ht="12.75">
      <c r="A31" s="23" t="s">
        <v>33</v>
      </c>
      <c r="B31">
        <v>0.05</v>
      </c>
      <c r="C31" s="23"/>
      <c r="O31" s="10">
        <f t="shared" si="21"/>
        <v>2030</v>
      </c>
      <c r="P31" s="20">
        <f t="shared" si="20"/>
        <v>0.12062111820772209</v>
      </c>
      <c r="Q31" s="20"/>
    </row>
    <row r="32" spans="1:17" ht="12.75">
      <c r="A32" s="34" t="s">
        <v>41</v>
      </c>
      <c r="B32" s="36">
        <v>0.01</v>
      </c>
      <c r="C32" s="23"/>
      <c r="O32" s="10">
        <f t="shared" si="21"/>
        <v>2040</v>
      </c>
      <c r="P32" s="20">
        <f t="shared" si="20"/>
        <v>0.09610460383712272</v>
      </c>
      <c r="Q32" s="20"/>
    </row>
    <row r="33" spans="1:17" ht="12.75">
      <c r="A33" s="23" t="s">
        <v>45</v>
      </c>
      <c r="B33">
        <v>0.22</v>
      </c>
      <c r="C33" s="23"/>
      <c r="O33" s="10">
        <f t="shared" si="21"/>
        <v>2050</v>
      </c>
      <c r="P33" s="20">
        <f t="shared" si="20"/>
        <v>0.07661305880541132</v>
      </c>
      <c r="Q33" s="20"/>
    </row>
    <row r="34" spans="1:17" ht="12.75">
      <c r="A34" s="23" t="s">
        <v>37</v>
      </c>
      <c r="B34">
        <v>0.01</v>
      </c>
      <c r="O34" s="10">
        <f t="shared" si="21"/>
        <v>2060</v>
      </c>
      <c r="P34" s="20">
        <f t="shared" si="20"/>
        <v>0.061055722284050595</v>
      </c>
      <c r="Q34" s="20"/>
    </row>
    <row r="35" spans="1:17" ht="12.75">
      <c r="A35" s="23" t="s">
        <v>36</v>
      </c>
      <c r="B35">
        <v>0.018</v>
      </c>
      <c r="O35" s="10">
        <f t="shared" si="21"/>
        <v>2070</v>
      </c>
      <c r="P35" s="20">
        <f t="shared" si="20"/>
        <v>0.04861500049612903</v>
      </c>
      <c r="Q35" s="20"/>
    </row>
    <row r="36" spans="1:17" ht="12.75">
      <c r="A36" s="24" t="s">
        <v>40</v>
      </c>
      <c r="B36" s="26">
        <v>0.03</v>
      </c>
      <c r="O36" s="10">
        <f t="shared" si="21"/>
        <v>2080</v>
      </c>
      <c r="P36" s="20">
        <f t="shared" si="20"/>
        <v>0.03866067964303202</v>
      </c>
      <c r="Q36" s="20"/>
    </row>
    <row r="37" spans="1:17" ht="12.75">
      <c r="A37" t="s">
        <v>24</v>
      </c>
      <c r="B37">
        <v>140000</v>
      </c>
      <c r="O37" s="10">
        <f t="shared" si="21"/>
        <v>2090</v>
      </c>
      <c r="P37" s="20">
        <f t="shared" si="20"/>
        <v>0.030697913289536718</v>
      </c>
      <c r="Q37" s="20"/>
    </row>
    <row r="38" spans="1:17" ht="12.75">
      <c r="A38" s="23" t="s">
        <v>42</v>
      </c>
      <c r="B38">
        <v>1</v>
      </c>
      <c r="O38" s="15">
        <f t="shared" si="21"/>
        <v>2100</v>
      </c>
      <c r="P38" s="21">
        <f t="shared" si="20"/>
        <v>0.02433352024131007</v>
      </c>
      <c r="Q38" s="31"/>
    </row>
    <row r="39" spans="1:2" ht="12.75">
      <c r="A39" t="s">
        <v>28</v>
      </c>
      <c r="B39">
        <v>10</v>
      </c>
    </row>
    <row r="40" spans="1:3" ht="12.75">
      <c r="A40" t="s">
        <v>29</v>
      </c>
      <c r="B40">
        <v>807</v>
      </c>
      <c r="C40" s="23"/>
    </row>
    <row r="41" spans="1:3" ht="12.75">
      <c r="A41" s="23" t="s">
        <v>44</v>
      </c>
      <c r="B41">
        <v>2.181</v>
      </c>
      <c r="C41" s="23"/>
    </row>
    <row r="42" spans="1:2" ht="12.75">
      <c r="A42" s="23" t="s">
        <v>43</v>
      </c>
      <c r="B42">
        <v>120</v>
      </c>
    </row>
    <row r="43" spans="1:2" ht="12.75">
      <c r="A43" s="23" t="s">
        <v>68</v>
      </c>
      <c r="B43">
        <v>1.41</v>
      </c>
    </row>
    <row r="44" spans="1:2" ht="12.75">
      <c r="A44" s="23" t="s">
        <v>69</v>
      </c>
      <c r="B44">
        <v>0.226</v>
      </c>
    </row>
    <row r="45" spans="1:2" ht="12.75">
      <c r="A45" s="23" t="s">
        <v>70</v>
      </c>
      <c r="B45">
        <v>0.44</v>
      </c>
    </row>
    <row r="46" spans="1:2" ht="12.75">
      <c r="A46" s="23" t="s">
        <v>71</v>
      </c>
      <c r="B46">
        <v>0.02</v>
      </c>
    </row>
    <row r="47" spans="1:2" ht="12.75">
      <c r="A47" s="24" t="s">
        <v>78</v>
      </c>
      <c r="B47" s="26">
        <v>0.006</v>
      </c>
    </row>
    <row r="48" spans="1:2" ht="12.75">
      <c r="A48" s="24" t="s">
        <v>79</v>
      </c>
      <c r="B48">
        <v>0.0015</v>
      </c>
    </row>
  </sheetData>
  <printOptions/>
  <pageMargins left="0.75" right="0.75" top="1" bottom="1" header="0.5" footer="0.5"/>
  <pageSetup horizontalDpi="600" verticalDpi="600"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CEEPR-JP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Problem Set for MIT 15.023/12.848</dc:title>
  <dc:subject/>
  <dc:creator>Travis Franck</dc:creator>
  <cp:keywords>climate change, model, simulation</cp:keywords>
  <dc:description/>
  <cp:lastModifiedBy>Travis Franck</cp:lastModifiedBy>
  <cp:lastPrinted>2008-03-19T13:56:49Z</cp:lastPrinted>
  <dcterms:created xsi:type="dcterms:W3CDTF">2003-03-17T19:47:56Z</dcterms:created>
  <dcterms:modified xsi:type="dcterms:W3CDTF">2008-03-19T15:51:19Z</dcterms:modified>
  <cp:category/>
  <cp:version/>
  <cp:contentType/>
  <cp:contentStatus/>
</cp:coreProperties>
</file>